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apoNuevoCiclo\OMI\OMI 2022\"/>
    </mc:Choice>
  </mc:AlternateContent>
  <bookViews>
    <workbookView xWindow="0" yWindow="0" windowWidth="24525" windowHeight="11745" tabRatio="866"/>
  </bookViews>
  <sheets>
    <sheet name="Indice" sheetId="26" r:id="rId1"/>
    <sheet name="I.1. Tot. Pob mund y mig" sheetId="17" r:id="rId2"/>
    <sheet name="I.2 Pob migr. Grupos de edad" sheetId="19" r:id="rId3"/>
    <sheet name="I.3 Pob Inmg por país" sheetId="20" r:id="rId4"/>
    <sheet name="I.4.Pob Emig por país" sheetId="21" r:id="rId5"/>
    <sheet name="I.5. Regiones mig.int" sheetId="23" r:id="rId6"/>
    <sheet name="I.6. Stock Corredores" sheetId="18" r:id="rId7"/>
    <sheet name="I.7. Prin. Corredores por Dir.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M">#REF!</definedName>
    <definedName name="\Y">#REF!</definedName>
    <definedName name="\Z">#REF!</definedName>
    <definedName name="_EX9596">#REF!</definedName>
    <definedName name="_xlnm._FilterDatabase" localSheetId="5" hidden="1">'I.5. Regiones mig.int'!$B$8:$D$19</definedName>
    <definedName name="Age00_04">OFFSET([1]charts!$C$46,0,0,1,COUNT([1]charts!$C$46:$Z$46))</definedName>
    <definedName name="Age05_09">OFFSET([1]charts!$C$47,0,0,1,COUNT([1]charts!$C$47:$Z$47+1))</definedName>
    <definedName name="Age10_14">OFFSET([1]charts!$C$48,0,0,1,[1]charts!$A$45)</definedName>
    <definedName name="Age15_19">OFFSET([1]charts!$C$49,0,0,1,[1]charts!$A$45)</definedName>
    <definedName name="Age20_24">OFFSET([1]charts!$C$50,0,0,1,[1]charts!$A$45)</definedName>
    <definedName name="Age25_29">OFFSET([1]charts!$C$51,0,0,1,[1]charts!$A$45)</definedName>
    <definedName name="Age30_34">OFFSET([1]charts!$C$52,0,0,1,[1]charts!$A$45)</definedName>
    <definedName name="Age35_39">OFFSET([1]charts!$C$53,0,0,1,[1]charts!$A$45)</definedName>
    <definedName name="Age40_44">OFFSET([1]charts!$C$54,0,0,1,[1]charts!$A$45)</definedName>
    <definedName name="Age45_49">OFFSET([1]charts!$C$55,0,0,1,[1]charts!$A$45)</definedName>
    <definedName name="Age50_54">OFFSET([1]charts!$C$56,0,0,1,[1]charts!$A$45)</definedName>
    <definedName name="Age55_59">OFFSET([1]charts!$C$57,0,0,1,[1]charts!$A$45)</definedName>
    <definedName name="Age60_64">OFFSET([1]charts!$C$58,0,0,1,[1]charts!$A$45)</definedName>
    <definedName name="Age65plus">OFFSET([1]charts!$C$59,0,0,1,[1]charts!$A$45)</definedName>
    <definedName name="ALLBIRR">#REF!</definedName>
    <definedName name="ALLSDR">#REF!</definedName>
    <definedName name="Area_data">OFFSET([1]charts!$B$45,0,0,15,COUNT([1]charts!$C$46:$Z$46)+1)</definedName>
    <definedName name="asdrae" hidden="1">#REF!</definedName>
    <definedName name="asdrra">#REF!</definedName>
    <definedName name="ase">#REF!</definedName>
    <definedName name="aser">#REF!</definedName>
    <definedName name="ASSUM">#REF!</definedName>
    <definedName name="Average_Daily_Depreciation">'[2]Inter-Bank'!$G$5</definedName>
    <definedName name="Average_Weekly_Depreciation">'[2]Inter-Bank'!$K$5</definedName>
    <definedName name="Average_Weekly_Inter_Bank_Exchange_Rate">'[2]Inter-Bank'!$H$5</definedName>
    <definedName name="cc">#REF!</definedName>
    <definedName name="code">[3]CONSTANT!#REF!</definedName>
    <definedName name="dd">#REF!</definedName>
    <definedName name="DEBT">#REF!</definedName>
    <definedName name="ee">#REF!</definedName>
    <definedName name="gia">[4]Sheet3!$A$4:$B$164</definedName>
    <definedName name="giac">[5]TableData!$A$4:$AI$231</definedName>
    <definedName name="giac1">[5]Sheet1!$A$4:$T$231</definedName>
    <definedName name="giac2">#REF!</definedName>
    <definedName name="GraphCountry">#REF!</definedName>
    <definedName name="Highest_Inter_Bank_Rate">'[2]Inter-Bank'!$L$5</definedName>
    <definedName name="idx_AND_Note1">[6]Index!#REF!</definedName>
    <definedName name="idx_AND_Note2">[6]Index!#REF!</definedName>
    <definedName name="idx_IMR_Note1">[6]Index!#REF!</definedName>
    <definedName name="idx_IMR_Note2">[6]Index!#REF!</definedName>
    <definedName name="idx_IMR_V1">[6]Index!#REF!</definedName>
    <definedName name="idx_IMR_V2">[6]Index!#REF!</definedName>
    <definedName name="idx_IMR_Y1">[6]Index!#REF!</definedName>
    <definedName name="idx_IMR_Y2">[6]Index!#REF!</definedName>
    <definedName name="IMRData">#REF!</definedName>
    <definedName name="IMRFootnote1">#REF!</definedName>
    <definedName name="IMRFootnote2">#REF!</definedName>
    <definedName name="INTEREST">#REF!</definedName>
    <definedName name="label_year">OFFSET([1]charts!$C$45,0,0,1,[1]charts!$A$45)</definedName>
    <definedName name="LifeExpData">#REF!</definedName>
    <definedName name="LookupTable">#REF!</definedName>
    <definedName name="Lowest_Inter_Bank_Rate">'[2]Inter-Bank'!$M$5</definedName>
    <definedName name="MEDTERM">#REF!</definedName>
    <definedName name="PolicyEM1995">#REF!</definedName>
    <definedName name="PolicyEM2005">#REF!</definedName>
    <definedName name="PolicyIM1995">#REF!</definedName>
    <definedName name="PolicyIM2005">#REF!</definedName>
    <definedName name="regions">#REF!,#REF!,#REF!</definedName>
    <definedName name="Spread_Between_Highest_and_Lowest_Rates">'[2]Inter-Bank'!$N$5</definedName>
    <definedName name="tt">#REF!</definedName>
    <definedName name="ttaa">#REF!</definedName>
    <definedName name="USSR">#REF!</definedName>
    <definedName name="ViewEM2005">#REF!</definedName>
    <definedName name="ViewIM1995">#REF!</definedName>
    <definedName name="Weekly_Depreciation">'[2]Inter-Bank'!$I$5</definedName>
    <definedName name="Weighted_Average_Inter_Bank_Exchange_Rate">'[2]Inter-Bank'!$C$5</definedName>
    <definedName name="zzrr">#REF!</definedName>
  </definedNames>
  <calcPr calcId="152511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17" l="1"/>
  <c r="L23" i="17"/>
  <c r="Q23" i="17"/>
  <c r="Q12" i="17"/>
  <c r="C37" i="23"/>
  <c r="D37" i="23"/>
  <c r="E37" i="23"/>
  <c r="F37" i="23"/>
  <c r="G37" i="23"/>
  <c r="H37" i="23"/>
  <c r="I37" i="23"/>
  <c r="J37" i="23"/>
  <c r="K37" i="23"/>
  <c r="L37" i="23"/>
  <c r="M27" i="23"/>
  <c r="M28" i="23"/>
  <c r="M29" i="23"/>
  <c r="M30" i="23"/>
  <c r="M31" i="23"/>
  <c r="M32" i="23"/>
  <c r="M33" i="23"/>
  <c r="M34" i="23"/>
  <c r="M35" i="23"/>
  <c r="M36" i="23"/>
  <c r="M26" i="23" l="1"/>
  <c r="M37" i="23" s="1"/>
  <c r="C20" i="23"/>
  <c r="D9" i="23" l="1"/>
  <c r="D13" i="23"/>
  <c r="D17" i="23"/>
  <c r="D11" i="23"/>
  <c r="D12" i="23"/>
  <c r="D10" i="23"/>
  <c r="D14" i="23"/>
  <c r="D18" i="23"/>
  <c r="D15" i="23"/>
  <c r="D19" i="23"/>
  <c r="D16" i="23"/>
  <c r="D20" i="23" l="1"/>
  <c r="G37" i="22"/>
  <c r="F8" i="22"/>
  <c r="F29" i="22"/>
  <c r="F15" i="22"/>
  <c r="F40" i="22"/>
  <c r="F37" i="22"/>
  <c r="F36" i="22"/>
  <c r="G35" i="22" s="1"/>
  <c r="F34" i="22"/>
  <c r="G34" i="22" s="1"/>
  <c r="F33" i="22"/>
  <c r="G33" i="22" s="1"/>
  <c r="F32" i="22"/>
  <c r="F31" i="22"/>
  <c r="F30" i="22"/>
  <c r="G28" i="22"/>
  <c r="F27" i="22"/>
  <c r="F26" i="22"/>
  <c r="F25" i="22"/>
  <c r="F24" i="22"/>
  <c r="F23" i="22"/>
  <c r="G21" i="22"/>
  <c r="F20" i="22"/>
  <c r="F19" i="22"/>
  <c r="G19" i="22" s="1"/>
  <c r="F18" i="22"/>
  <c r="G18" i="22" s="1"/>
  <c r="F17" i="22"/>
  <c r="F22" i="22"/>
  <c r="G17" i="22" s="1"/>
  <c r="F16" i="22"/>
  <c r="G16" i="22" s="1"/>
  <c r="G10" i="22"/>
  <c r="F13" i="22"/>
  <c r="G13" i="22" s="1"/>
  <c r="F12" i="22"/>
  <c r="G12" i="22" s="1"/>
  <c r="F11" i="22"/>
  <c r="F10" i="22"/>
  <c r="F9" i="22"/>
  <c r="G9" i="22" s="1"/>
  <c r="G40" i="22" l="1"/>
  <c r="G20" i="22"/>
  <c r="G22" i="22" s="1"/>
  <c r="G11" i="22"/>
  <c r="G30" i="22"/>
  <c r="G31" i="22"/>
  <c r="G32" i="22"/>
  <c r="G23" i="22"/>
  <c r="G27" i="22"/>
  <c r="G24" i="22"/>
  <c r="G26" i="22"/>
  <c r="G25" i="22"/>
  <c r="G14" i="22"/>
  <c r="G15" i="22" s="1"/>
  <c r="G36" i="22" l="1"/>
  <c r="G29" i="22"/>
  <c r="E8" i="18" l="1"/>
  <c r="F53" i="18" s="1"/>
  <c r="F10" i="18"/>
  <c r="F11" i="18"/>
  <c r="F13" i="18"/>
  <c r="F15" i="18"/>
  <c r="F16" i="18"/>
  <c r="F17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9" i="18"/>
  <c r="F18" i="18" l="1"/>
  <c r="F14" i="18"/>
  <c r="F55" i="18"/>
  <c r="F12" i="18"/>
  <c r="F54" i="18"/>
  <c r="G8" i="21" l="1"/>
  <c r="H8" i="21"/>
  <c r="D8" i="21"/>
  <c r="F8" i="21"/>
  <c r="I9" i="21"/>
  <c r="H8" i="20" l="1"/>
  <c r="F8" i="20" l="1"/>
  <c r="J233" i="20" s="1"/>
  <c r="G8" i="20"/>
  <c r="I238" i="21"/>
  <c r="I215" i="21"/>
  <c r="I235" i="21"/>
  <c r="D8" i="20"/>
  <c r="J234" i="21" l="1"/>
  <c r="J9" i="21"/>
  <c r="I8" i="21"/>
  <c r="I8" i="20"/>
  <c r="I237" i="20"/>
  <c r="I240" i="20"/>
  <c r="I9" i="20"/>
  <c r="I192" i="20"/>
  <c r="I177" i="20"/>
  <c r="I171" i="20"/>
  <c r="I147" i="20"/>
  <c r="I143" i="20"/>
  <c r="I128" i="20"/>
  <c r="I80" i="20"/>
  <c r="I69" i="20"/>
  <c r="I64" i="20"/>
  <c r="I11" i="20"/>
  <c r="I10" i="20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H13" i="19"/>
  <c r="D12" i="19"/>
  <c r="F11" i="19"/>
  <c r="E23" i="17"/>
  <c r="F10" i="19"/>
  <c r="F9" i="19"/>
  <c r="D23" i="17"/>
  <c r="I239" i="20" l="1"/>
  <c r="F46" i="19"/>
  <c r="F29" i="19"/>
  <c r="J13" i="19"/>
  <c r="I23" i="17"/>
  <c r="H23" i="17"/>
  <c r="P23" i="17" s="1"/>
  <c r="I22" i="17"/>
  <c r="H22" i="17"/>
  <c r="I21" i="17"/>
  <c r="H21" i="17"/>
  <c r="I20" i="17"/>
  <c r="H20" i="17"/>
  <c r="I19" i="17"/>
  <c r="H19" i="17"/>
  <c r="I18" i="17"/>
  <c r="H18" i="17"/>
  <c r="I17" i="17"/>
  <c r="H17" i="17"/>
  <c r="E22" i="17"/>
  <c r="M23" i="17" s="1"/>
  <c r="E21" i="17"/>
  <c r="E20" i="17"/>
  <c r="E19" i="17"/>
  <c r="E18" i="17"/>
  <c r="E17" i="17"/>
  <c r="F23" i="17"/>
  <c r="F22" i="17"/>
  <c r="F21" i="17"/>
  <c r="F20" i="17"/>
  <c r="F19" i="17"/>
  <c r="F18" i="17"/>
  <c r="F17" i="17"/>
  <c r="N23" i="17" l="1"/>
  <c r="J192" i="20"/>
  <c r="J239" i="20"/>
  <c r="J171" i="20"/>
  <c r="J177" i="20"/>
  <c r="J128" i="20"/>
  <c r="J147" i="20"/>
  <c r="J69" i="20"/>
  <c r="J80" i="20"/>
  <c r="J9" i="20"/>
  <c r="J64" i="20"/>
  <c r="D22" i="17"/>
  <c r="D21" i="17"/>
  <c r="D20" i="17"/>
  <c r="D19" i="17"/>
  <c r="D18" i="17"/>
  <c r="D17" i="17"/>
  <c r="P12" i="17" l="1"/>
  <c r="I11" i="21" l="1"/>
  <c r="I13" i="21"/>
  <c r="I14" i="21"/>
  <c r="I15" i="21"/>
  <c r="I44" i="21"/>
  <c r="I17" i="21"/>
  <c r="I18" i="21"/>
  <c r="I22" i="21"/>
  <c r="I20" i="21"/>
  <c r="I21" i="21"/>
  <c r="I29" i="21"/>
  <c r="I109" i="21"/>
  <c r="I192" i="21"/>
  <c r="I27" i="21"/>
  <c r="I63" i="21"/>
  <c r="I28" i="21"/>
  <c r="I62" i="21"/>
  <c r="I34" i="21"/>
  <c r="I31" i="21"/>
  <c r="I32" i="21"/>
  <c r="I33" i="21"/>
  <c r="I30" i="21"/>
  <c r="I75" i="21"/>
  <c r="I51" i="21"/>
  <c r="I19" i="21"/>
  <c r="I37" i="21"/>
  <c r="I35" i="21"/>
  <c r="I38" i="21"/>
  <c r="I140" i="21"/>
  <c r="I16" i="21"/>
  <c r="I41" i="21"/>
  <c r="I73" i="21"/>
  <c r="I43" i="21"/>
  <c r="I39" i="21"/>
  <c r="I241" i="21"/>
  <c r="I46" i="21"/>
  <c r="I107" i="21"/>
  <c r="I49" i="21"/>
  <c r="I114" i="21"/>
  <c r="I125" i="21"/>
  <c r="I101" i="21"/>
  <c r="I50" i="21"/>
  <c r="I45" i="21"/>
  <c r="I36" i="21"/>
  <c r="I90" i="21"/>
  <c r="I58" i="21"/>
  <c r="I102" i="21"/>
  <c r="I59" i="21"/>
  <c r="I54" i="21"/>
  <c r="I80" i="21"/>
  <c r="I66" i="21"/>
  <c r="I26" i="21"/>
  <c r="I64" i="21"/>
  <c r="I56" i="21"/>
  <c r="I191" i="21"/>
  <c r="I145" i="21"/>
  <c r="I61" i="21"/>
  <c r="I40" i="21"/>
  <c r="I71" i="21"/>
  <c r="I85" i="21"/>
  <c r="I154" i="21"/>
  <c r="I84" i="21"/>
  <c r="I79" i="21"/>
  <c r="I76" i="21"/>
  <c r="I78" i="21"/>
  <c r="I81" i="21"/>
  <c r="I98" i="21"/>
  <c r="I141" i="21"/>
  <c r="I72" i="21"/>
  <c r="I110" i="21"/>
  <c r="I168" i="21"/>
  <c r="I218" i="21"/>
  <c r="I42" i="21"/>
  <c r="I55" i="21"/>
  <c r="I87" i="21"/>
  <c r="I86" i="21"/>
  <c r="I65" i="21"/>
  <c r="I70" i="21"/>
  <c r="I53" i="21"/>
  <c r="I95" i="21"/>
  <c r="I129" i="21"/>
  <c r="I138" i="21"/>
  <c r="I106" i="21"/>
  <c r="I83" i="21"/>
  <c r="I94" i="21"/>
  <c r="I100" i="21"/>
  <c r="I93" i="21"/>
  <c r="I99" i="21"/>
  <c r="I91" i="21"/>
  <c r="I77" i="21"/>
  <c r="I92" i="21"/>
  <c r="I82" i="21"/>
  <c r="I119" i="21"/>
  <c r="I47" i="21"/>
  <c r="I144" i="21"/>
  <c r="I25" i="21"/>
  <c r="I105" i="21"/>
  <c r="I97" i="21"/>
  <c r="I143" i="21"/>
  <c r="I89" i="21"/>
  <c r="I48" i="21"/>
  <c r="I113" i="21"/>
  <c r="I116" i="21"/>
  <c r="I115" i="21"/>
  <c r="I112" i="21"/>
  <c r="I60" i="21"/>
  <c r="I103" i="21"/>
  <c r="I68" i="21"/>
  <c r="I118" i="21"/>
  <c r="I155" i="21"/>
  <c r="I23" i="21"/>
  <c r="I146" i="21"/>
  <c r="I123" i="21"/>
  <c r="I120" i="21"/>
  <c r="I126" i="21"/>
  <c r="I69" i="21"/>
  <c r="I131" i="21"/>
  <c r="I183" i="21"/>
  <c r="I136" i="21"/>
  <c r="I176" i="21"/>
  <c r="I164" i="21"/>
  <c r="I132" i="21"/>
  <c r="I88" i="21"/>
  <c r="I133" i="21"/>
  <c r="I135" i="21"/>
  <c r="I57" i="21"/>
  <c r="I127" i="21"/>
  <c r="I139" i="21"/>
  <c r="I198" i="21"/>
  <c r="I156" i="21"/>
  <c r="I111" i="21"/>
  <c r="I151" i="21"/>
  <c r="I128" i="21"/>
  <c r="I74" i="21"/>
  <c r="I158" i="21"/>
  <c r="I122" i="21"/>
  <c r="I169" i="21"/>
  <c r="I108" i="21"/>
  <c r="I188" i="21"/>
  <c r="I117" i="21"/>
  <c r="I134" i="21"/>
  <c r="I147" i="21"/>
  <c r="I150" i="21"/>
  <c r="I67" i="21"/>
  <c r="I220" i="21"/>
  <c r="I162" i="21"/>
  <c r="I130" i="21"/>
  <c r="I157" i="21"/>
  <c r="I148" i="21"/>
  <c r="I104" i="21"/>
  <c r="I137" i="21"/>
  <c r="I96" i="21"/>
  <c r="I163" i="21"/>
  <c r="I237" i="21"/>
  <c r="I187" i="21"/>
  <c r="I232" i="21"/>
  <c r="I225" i="21"/>
  <c r="I184" i="21"/>
  <c r="I165" i="21"/>
  <c r="I219" i="21"/>
  <c r="I166" i="21"/>
  <c r="I152" i="21"/>
  <c r="I153" i="21"/>
  <c r="I159" i="21"/>
  <c r="I207" i="21"/>
  <c r="I193" i="21"/>
  <c r="I161" i="21"/>
  <c r="I171" i="21"/>
  <c r="I52" i="21"/>
  <c r="I204" i="21"/>
  <c r="I160" i="21"/>
  <c r="I175" i="21"/>
  <c r="I124" i="21"/>
  <c r="I190" i="21"/>
  <c r="I121" i="21"/>
  <c r="I185" i="21"/>
  <c r="I174" i="21"/>
  <c r="I179" i="21"/>
  <c r="I202" i="21"/>
  <c r="I142" i="21"/>
  <c r="I212" i="21"/>
  <c r="I221" i="21"/>
  <c r="I233" i="21"/>
  <c r="I189" i="21"/>
  <c r="I203" i="21"/>
  <c r="I195" i="21"/>
  <c r="I24" i="21"/>
  <c r="I243" i="21"/>
  <c r="I172" i="21"/>
  <c r="I209" i="21"/>
  <c r="I216" i="21"/>
  <c r="I177" i="21"/>
  <c r="I226" i="21"/>
  <c r="I182" i="21"/>
  <c r="I236" i="21"/>
  <c r="I223" i="21"/>
  <c r="I178" i="21"/>
  <c r="I181" i="21"/>
  <c r="I173" i="21"/>
  <c r="I201" i="21"/>
  <c r="I222" i="21"/>
  <c r="I229" i="21"/>
  <c r="I205" i="21"/>
  <c r="I196" i="21"/>
  <c r="I186" i="21"/>
  <c r="I234" i="21"/>
  <c r="I206" i="21"/>
  <c r="I239" i="21"/>
  <c r="I231" i="21"/>
  <c r="I167" i="21"/>
  <c r="I211" i="21"/>
  <c r="I210" i="21"/>
  <c r="I180" i="21"/>
  <c r="I227" i="21"/>
  <c r="I197" i="21"/>
  <c r="I149" i="21"/>
  <c r="I208" i="21"/>
  <c r="I228" i="21"/>
  <c r="I214" i="21"/>
  <c r="I242" i="21"/>
  <c r="I224" i="21"/>
  <c r="I230" i="21"/>
  <c r="I194" i="21"/>
  <c r="I200" i="21"/>
  <c r="I213" i="21"/>
  <c r="I170" i="21"/>
  <c r="I199" i="21"/>
  <c r="I217" i="21"/>
  <c r="I240" i="21"/>
  <c r="I12" i="21"/>
  <c r="I10" i="21"/>
  <c r="I56" i="20"/>
  <c r="I84" i="20"/>
  <c r="I105" i="20"/>
  <c r="I169" i="20"/>
  <c r="I32" i="20"/>
  <c r="I109" i="20"/>
  <c r="I108" i="20"/>
  <c r="I170" i="20"/>
  <c r="I111" i="20"/>
  <c r="I40" i="20"/>
  <c r="I75" i="20"/>
  <c r="I178" i="20"/>
  <c r="I200" i="20"/>
  <c r="I35" i="20"/>
  <c r="I176" i="20"/>
  <c r="I184" i="20"/>
  <c r="I38" i="20"/>
  <c r="I180" i="20"/>
  <c r="I54" i="20"/>
  <c r="I58" i="20"/>
  <c r="I21" i="20"/>
  <c r="I26" i="20"/>
  <c r="I55" i="20"/>
  <c r="I44" i="20"/>
  <c r="I18" i="20"/>
  <c r="I45" i="20"/>
  <c r="I126" i="20"/>
  <c r="I46" i="20"/>
  <c r="I62" i="20"/>
  <c r="I23" i="20"/>
  <c r="I110" i="20"/>
  <c r="I37" i="20"/>
  <c r="I36" i="20"/>
  <c r="I78" i="20"/>
  <c r="I145" i="20"/>
  <c r="I43" i="20"/>
  <c r="I48" i="20"/>
  <c r="I59" i="20"/>
  <c r="I77" i="20"/>
  <c r="I114" i="20"/>
  <c r="I97" i="20"/>
  <c r="I88" i="20"/>
  <c r="I25" i="20"/>
  <c r="I16" i="20"/>
  <c r="I83" i="20"/>
  <c r="I94" i="20"/>
  <c r="I142" i="20"/>
  <c r="I52" i="20"/>
  <c r="I163" i="20"/>
  <c r="I107" i="20"/>
  <c r="I30" i="20"/>
  <c r="I33" i="20"/>
  <c r="I82" i="20"/>
  <c r="I53" i="20"/>
  <c r="I76" i="20"/>
  <c r="I96" i="20"/>
  <c r="I121" i="20"/>
  <c r="I146" i="20"/>
  <c r="I207" i="20"/>
  <c r="I133" i="20"/>
  <c r="I119" i="20"/>
  <c r="I156" i="20"/>
  <c r="I101" i="20"/>
  <c r="I87" i="20"/>
  <c r="I95" i="20"/>
  <c r="I68" i="20"/>
  <c r="I130" i="20"/>
  <c r="I99" i="20"/>
  <c r="I89" i="20"/>
  <c r="I162" i="20"/>
  <c r="I241" i="20"/>
  <c r="I218" i="20"/>
  <c r="I166" i="20"/>
  <c r="I151" i="20"/>
  <c r="I60" i="20"/>
  <c r="I129" i="20"/>
  <c r="I42" i="20"/>
  <c r="I85" i="20"/>
  <c r="I201" i="20"/>
  <c r="I51" i="20"/>
  <c r="I49" i="20"/>
  <c r="I65" i="20"/>
  <c r="I152" i="20"/>
  <c r="I115" i="20"/>
  <c r="I139" i="20"/>
  <c r="I175" i="20"/>
  <c r="I34" i="20"/>
  <c r="I182" i="20"/>
  <c r="I209" i="20"/>
  <c r="I194" i="20"/>
  <c r="I28" i="20"/>
  <c r="I103" i="20"/>
  <c r="I70" i="20"/>
  <c r="I125" i="20"/>
  <c r="I41" i="20"/>
  <c r="I72" i="20"/>
  <c r="I106" i="20"/>
  <c r="I206" i="20"/>
  <c r="I86" i="20"/>
  <c r="I181" i="20"/>
  <c r="I140" i="20"/>
  <c r="I203" i="20"/>
  <c r="I144" i="20"/>
  <c r="I91" i="20"/>
  <c r="I116" i="20"/>
  <c r="I150" i="20"/>
  <c r="I161" i="20"/>
  <c r="I67" i="20"/>
  <c r="I50" i="20"/>
  <c r="I137" i="20"/>
  <c r="I149" i="20"/>
  <c r="I179" i="20"/>
  <c r="I73" i="20"/>
  <c r="I164" i="20"/>
  <c r="I204" i="20"/>
  <c r="I81" i="20"/>
  <c r="I153" i="20"/>
  <c r="I61" i="20"/>
  <c r="I231" i="20"/>
  <c r="I185" i="20"/>
  <c r="I104" i="20"/>
  <c r="I136" i="20"/>
  <c r="I158" i="20"/>
  <c r="I159" i="20"/>
  <c r="I160" i="20"/>
  <c r="I117" i="20"/>
  <c r="I31" i="20"/>
  <c r="I205" i="20"/>
  <c r="I29" i="20"/>
  <c r="I229" i="20"/>
  <c r="I225" i="20"/>
  <c r="I92" i="20"/>
  <c r="I17" i="20"/>
  <c r="I112" i="20"/>
  <c r="I127" i="20"/>
  <c r="I202" i="20"/>
  <c r="I211" i="20"/>
  <c r="I173" i="20"/>
  <c r="I120" i="20"/>
  <c r="I118" i="20"/>
  <c r="I226" i="20"/>
  <c r="I74" i="20"/>
  <c r="I14" i="20"/>
  <c r="I223" i="20"/>
  <c r="I198" i="20"/>
  <c r="I155" i="20"/>
  <c r="I134" i="20"/>
  <c r="I71" i="20"/>
  <c r="I138" i="20"/>
  <c r="I174" i="20"/>
  <c r="I199" i="20"/>
  <c r="I122" i="20"/>
  <c r="I190" i="20"/>
  <c r="I113" i="20"/>
  <c r="I193" i="20"/>
  <c r="I217" i="20"/>
  <c r="I242" i="20"/>
  <c r="I212" i="20"/>
  <c r="I39" i="20"/>
  <c r="I215" i="20"/>
  <c r="I123" i="20"/>
  <c r="I191" i="20"/>
  <c r="I224" i="20"/>
  <c r="I227" i="20"/>
  <c r="I141" i="20"/>
  <c r="I167" i="20"/>
  <c r="I157" i="20"/>
  <c r="I219" i="20"/>
  <c r="I131" i="20"/>
  <c r="I186" i="20"/>
  <c r="I183" i="20"/>
  <c r="I196" i="20"/>
  <c r="I188" i="20"/>
  <c r="I148" i="20"/>
  <c r="I187" i="20"/>
  <c r="I214" i="20"/>
  <c r="I220" i="20"/>
  <c r="I132" i="20"/>
  <c r="I189" i="20"/>
  <c r="I195" i="20"/>
  <c r="I208" i="20"/>
  <c r="I172" i="20"/>
  <c r="I221" i="20"/>
  <c r="I66" i="20"/>
  <c r="I168" i="20"/>
  <c r="I210" i="20"/>
  <c r="I165" i="20"/>
  <c r="I216" i="20"/>
  <c r="I197" i="20"/>
  <c r="I135" i="20"/>
  <c r="I228" i="20"/>
  <c r="I213" i="20"/>
  <c r="I93" i="20"/>
  <c r="I222" i="20"/>
  <c r="I243" i="20"/>
  <c r="I238" i="20"/>
  <c r="I233" i="20"/>
  <c r="I230" i="20"/>
  <c r="I234" i="20"/>
  <c r="I235" i="20"/>
  <c r="I236" i="20"/>
  <c r="I232" i="20"/>
  <c r="I24" i="20"/>
  <c r="I57" i="20"/>
  <c r="I12" i="20"/>
  <c r="I15" i="20"/>
  <c r="I79" i="20"/>
  <c r="I19" i="20"/>
  <c r="I100" i="20"/>
  <c r="I90" i="20"/>
  <c r="I47" i="20"/>
  <c r="I20" i="20"/>
  <c r="I22" i="20"/>
  <c r="I98" i="20"/>
  <c r="I154" i="20"/>
  <c r="I124" i="20"/>
  <c r="I13" i="20"/>
  <c r="I102" i="20"/>
  <c r="I63" i="20"/>
  <c r="I27" i="20"/>
  <c r="J215" i="21" l="1"/>
  <c r="J194" i="21"/>
  <c r="J235" i="21"/>
  <c r="J239" i="21"/>
  <c r="J238" i="21"/>
  <c r="J12" i="21"/>
  <c r="J165" i="21"/>
  <c r="J132" i="21"/>
  <c r="J106" i="21"/>
  <c r="J223" i="21"/>
  <c r="J58" i="21"/>
  <c r="J213" i="21"/>
  <c r="J24" i="21"/>
  <c r="J104" i="21"/>
  <c r="J23" i="21"/>
  <c r="J46" i="21"/>
  <c r="J208" i="21"/>
  <c r="J202" i="21"/>
  <c r="J188" i="21"/>
  <c r="J113" i="21"/>
  <c r="J78" i="21"/>
  <c r="J37" i="21"/>
  <c r="J206" i="21"/>
  <c r="J52" i="21"/>
  <c r="J111" i="21"/>
  <c r="J47" i="21"/>
  <c r="J56" i="21"/>
  <c r="J62" i="21"/>
  <c r="J55" i="21"/>
  <c r="J20" i="21"/>
  <c r="J244" i="21"/>
  <c r="J211" i="21"/>
  <c r="J226" i="21"/>
  <c r="J190" i="21"/>
  <c r="J237" i="21"/>
  <c r="J169" i="21"/>
  <c r="J69" i="21"/>
  <c r="J105" i="21"/>
  <c r="J53" i="21"/>
  <c r="J71" i="21"/>
  <c r="J101" i="21"/>
  <c r="J30" i="21"/>
  <c r="J14" i="21"/>
  <c r="J230" i="21"/>
  <c r="J229" i="21"/>
  <c r="J221" i="21"/>
  <c r="J159" i="21"/>
  <c r="J220" i="21"/>
  <c r="J57" i="21"/>
  <c r="J103" i="21"/>
  <c r="J91" i="21"/>
  <c r="J141" i="21"/>
  <c r="J66" i="21"/>
  <c r="J41" i="21"/>
  <c r="J29" i="21"/>
  <c r="J217" i="21"/>
  <c r="J228" i="21"/>
  <c r="J231" i="21"/>
  <c r="J222" i="21"/>
  <c r="J209" i="21"/>
  <c r="J142" i="21"/>
  <c r="J160" i="21"/>
  <c r="J166" i="21"/>
  <c r="J163" i="21"/>
  <c r="J150" i="21"/>
  <c r="J151" i="21"/>
  <c r="J88" i="21"/>
  <c r="J126" i="21"/>
  <c r="J112" i="21"/>
  <c r="J144" i="21"/>
  <c r="J100" i="21"/>
  <c r="J87" i="21"/>
  <c r="J98" i="21"/>
  <c r="J40" i="21"/>
  <c r="J102" i="21"/>
  <c r="J49" i="21"/>
  <c r="J16" i="21"/>
  <c r="J31" i="21"/>
  <c r="J21" i="21"/>
  <c r="J11" i="21"/>
  <c r="J227" i="21"/>
  <c r="J205" i="21"/>
  <c r="J236" i="21"/>
  <c r="J195" i="21"/>
  <c r="J121" i="21"/>
  <c r="J193" i="21"/>
  <c r="J184" i="21"/>
  <c r="J130" i="21"/>
  <c r="J108" i="21"/>
  <c r="J198" i="21"/>
  <c r="J183" i="21"/>
  <c r="J155" i="21"/>
  <c r="J89" i="21"/>
  <c r="J77" i="21"/>
  <c r="J129" i="21"/>
  <c r="J42" i="21"/>
  <c r="J84" i="21"/>
  <c r="J26" i="21"/>
  <c r="J45" i="21"/>
  <c r="J43" i="21"/>
  <c r="J19" i="21"/>
  <c r="J63" i="21"/>
  <c r="J15" i="21"/>
  <c r="J199" i="21"/>
  <c r="J214" i="21"/>
  <c r="J210" i="21"/>
  <c r="J181" i="21"/>
  <c r="J216" i="21"/>
  <c r="J203" i="21"/>
  <c r="J174" i="21"/>
  <c r="J204" i="21"/>
  <c r="J153" i="21"/>
  <c r="J187" i="21"/>
  <c r="J157" i="21"/>
  <c r="J147" i="21"/>
  <c r="J74" i="21"/>
  <c r="J127" i="21"/>
  <c r="J164" i="21"/>
  <c r="J123" i="21"/>
  <c r="J60" i="21"/>
  <c r="J143" i="21"/>
  <c r="J92" i="21"/>
  <c r="J83" i="21"/>
  <c r="J70" i="21"/>
  <c r="J110" i="21"/>
  <c r="J79" i="21"/>
  <c r="J61" i="21"/>
  <c r="J54" i="21"/>
  <c r="J50" i="21"/>
  <c r="J241" i="21"/>
  <c r="J35" i="21"/>
  <c r="J32" i="21"/>
  <c r="J27" i="21"/>
  <c r="J17" i="21"/>
  <c r="J10" i="21"/>
  <c r="J170" i="21"/>
  <c r="J242" i="21"/>
  <c r="J197" i="21"/>
  <c r="J167" i="21"/>
  <c r="J196" i="21"/>
  <c r="J173" i="21"/>
  <c r="J182" i="21"/>
  <c r="J243" i="21"/>
  <c r="J233" i="21"/>
  <c r="J179" i="21"/>
  <c r="J175" i="21"/>
  <c r="J161" i="21"/>
  <c r="J152" i="21"/>
  <c r="J232" i="21"/>
  <c r="J137" i="21"/>
  <c r="J162" i="21"/>
  <c r="J117" i="21"/>
  <c r="J158" i="21"/>
  <c r="J156" i="21"/>
  <c r="J133" i="21"/>
  <c r="J136" i="21"/>
  <c r="J120" i="21"/>
  <c r="J68" i="21"/>
  <c r="J116" i="21"/>
  <c r="J97" i="21"/>
  <c r="J82" i="21"/>
  <c r="J93" i="21"/>
  <c r="J138" i="21"/>
  <c r="J86" i="21"/>
  <c r="J168" i="21"/>
  <c r="J81" i="21"/>
  <c r="J85" i="21"/>
  <c r="J191" i="21"/>
  <c r="J80" i="21"/>
  <c r="J36" i="21"/>
  <c r="J114" i="21"/>
  <c r="J39" i="21"/>
  <c r="J38" i="21"/>
  <c r="J75" i="21"/>
  <c r="J34" i="21"/>
  <c r="J109" i="21"/>
  <c r="J18" i="21"/>
  <c r="J13" i="21"/>
  <c r="J240" i="21"/>
  <c r="J224" i="21"/>
  <c r="J180" i="21"/>
  <c r="J186" i="21"/>
  <c r="J178" i="21"/>
  <c r="J172" i="21"/>
  <c r="J212" i="21"/>
  <c r="J124" i="21"/>
  <c r="J207" i="21"/>
  <c r="J225" i="21"/>
  <c r="J148" i="21"/>
  <c r="J134" i="21"/>
  <c r="J128" i="21"/>
  <c r="J135" i="21"/>
  <c r="J131" i="21"/>
  <c r="J118" i="21"/>
  <c r="J48" i="21"/>
  <c r="J119" i="21"/>
  <c r="J94" i="21"/>
  <c r="J65" i="21"/>
  <c r="J72" i="21"/>
  <c r="J154" i="21"/>
  <c r="J64" i="21"/>
  <c r="J90" i="21"/>
  <c r="J107" i="21"/>
  <c r="J140" i="21"/>
  <c r="J33" i="21"/>
  <c r="J192" i="21"/>
  <c r="J44" i="21"/>
  <c r="J200" i="21"/>
  <c r="J149" i="21"/>
  <c r="J201" i="21"/>
  <c r="J177" i="21"/>
  <c r="J189" i="21"/>
  <c r="J185" i="21"/>
  <c r="J171" i="21"/>
  <c r="J219" i="21"/>
  <c r="J96" i="21"/>
  <c r="J67" i="21"/>
  <c r="J122" i="21"/>
  <c r="J139" i="21"/>
  <c r="J176" i="21"/>
  <c r="J146" i="21"/>
  <c r="J115" i="21"/>
  <c r="J25" i="21"/>
  <c r="J99" i="21"/>
  <c r="J95" i="21"/>
  <c r="J218" i="21"/>
  <c r="J76" i="21"/>
  <c r="J145" i="21"/>
  <c r="J59" i="21"/>
  <c r="J125" i="21"/>
  <c r="J73" i="21"/>
  <c r="J51" i="21"/>
  <c r="J28" i="21"/>
  <c r="J22" i="21"/>
  <c r="J8" i="21" l="1"/>
  <c r="J56" i="20"/>
  <c r="K12" i="17"/>
  <c r="J108" i="20" l="1"/>
  <c r="J176" i="20"/>
  <c r="J55" i="20"/>
  <c r="J48" i="20"/>
  <c r="J83" i="20"/>
  <c r="J82" i="20"/>
  <c r="J119" i="20"/>
  <c r="J89" i="20"/>
  <c r="J42" i="20"/>
  <c r="J139" i="20"/>
  <c r="J103" i="20"/>
  <c r="J86" i="20"/>
  <c r="J161" i="20"/>
  <c r="J164" i="20"/>
  <c r="J136" i="20"/>
  <c r="J229" i="20"/>
  <c r="J173" i="20"/>
  <c r="J190" i="20"/>
  <c r="J123" i="20"/>
  <c r="J131" i="20"/>
  <c r="J220" i="20"/>
  <c r="J66" i="20"/>
  <c r="J213" i="20"/>
  <c r="J15" i="20"/>
  <c r="J22" i="20"/>
  <c r="J84" i="20"/>
  <c r="J170" i="20"/>
  <c r="J184" i="20"/>
  <c r="J44" i="20"/>
  <c r="J23" i="20"/>
  <c r="J59" i="20"/>
  <c r="J94" i="20"/>
  <c r="J53" i="20"/>
  <c r="J156" i="20"/>
  <c r="J162" i="20"/>
  <c r="J85" i="20"/>
  <c r="J175" i="20"/>
  <c r="J181" i="20"/>
  <c r="J11" i="20"/>
  <c r="J204" i="20"/>
  <c r="J158" i="20"/>
  <c r="J225" i="20"/>
  <c r="J120" i="20"/>
  <c r="J155" i="20"/>
  <c r="J113" i="20"/>
  <c r="J191" i="20"/>
  <c r="J186" i="20"/>
  <c r="J132" i="20"/>
  <c r="J168" i="20"/>
  <c r="J93" i="20"/>
  <c r="J235" i="20"/>
  <c r="J79" i="20"/>
  <c r="J98" i="20"/>
  <c r="J169" i="20"/>
  <c r="J146" i="20"/>
  <c r="J65" i="20"/>
  <c r="J72" i="20"/>
  <c r="J149" i="20"/>
  <c r="J127" i="20"/>
  <c r="J174" i="20"/>
  <c r="J148" i="20"/>
  <c r="J102" i="20"/>
  <c r="J21" i="20"/>
  <c r="J207" i="20"/>
  <c r="J60" i="20"/>
  <c r="J106" i="20"/>
  <c r="J185" i="20"/>
  <c r="J223" i="20"/>
  <c r="J157" i="20"/>
  <c r="J135" i="20"/>
  <c r="J47" i="20"/>
  <c r="J26" i="20"/>
  <c r="J62" i="20"/>
  <c r="J43" i="20"/>
  <c r="J16" i="20"/>
  <c r="J33" i="20"/>
  <c r="J133" i="20"/>
  <c r="J111" i="20"/>
  <c r="J38" i="20"/>
  <c r="J18" i="20"/>
  <c r="J110" i="20"/>
  <c r="J77" i="20"/>
  <c r="J142" i="20"/>
  <c r="J76" i="20"/>
  <c r="J101" i="20"/>
  <c r="J241" i="20"/>
  <c r="J201" i="20"/>
  <c r="J34" i="20"/>
  <c r="J70" i="20"/>
  <c r="J140" i="20"/>
  <c r="J67" i="20"/>
  <c r="J81" i="20"/>
  <c r="J159" i="20"/>
  <c r="J92" i="20"/>
  <c r="J118" i="20"/>
  <c r="J134" i="20"/>
  <c r="J193" i="20"/>
  <c r="J224" i="20"/>
  <c r="J183" i="20"/>
  <c r="J189" i="20"/>
  <c r="J210" i="20"/>
  <c r="J222" i="20"/>
  <c r="J237" i="20"/>
  <c r="J19" i="20"/>
  <c r="J154" i="20"/>
  <c r="J75" i="20"/>
  <c r="J209" i="20"/>
  <c r="J137" i="20"/>
  <c r="J117" i="20"/>
  <c r="J74" i="20"/>
  <c r="J242" i="20"/>
  <c r="J188" i="20"/>
  <c r="J240" i="20"/>
  <c r="J238" i="20"/>
  <c r="J100" i="20"/>
  <c r="J178" i="20"/>
  <c r="J78" i="20"/>
  <c r="J88" i="20"/>
  <c r="J107" i="20"/>
  <c r="J68" i="20"/>
  <c r="J151" i="20"/>
  <c r="J194" i="20"/>
  <c r="J91" i="20"/>
  <c r="J231" i="20"/>
  <c r="J14" i="20"/>
  <c r="J212" i="20"/>
  <c r="J208" i="20"/>
  <c r="J24" i="20"/>
  <c r="J200" i="20"/>
  <c r="J30" i="20"/>
  <c r="J152" i="20"/>
  <c r="J116" i="20"/>
  <c r="J205" i="20"/>
  <c r="J199" i="20"/>
  <c r="J187" i="20"/>
  <c r="J230" i="20"/>
  <c r="J63" i="20"/>
  <c r="J10" i="20"/>
  <c r="J40" i="20"/>
  <c r="J180" i="20"/>
  <c r="J45" i="20"/>
  <c r="J37" i="20"/>
  <c r="J114" i="20"/>
  <c r="J52" i="20"/>
  <c r="J96" i="20"/>
  <c r="J87" i="20"/>
  <c r="J218" i="20"/>
  <c r="J51" i="20"/>
  <c r="J182" i="20"/>
  <c r="J125" i="20"/>
  <c r="J203" i="20"/>
  <c r="J50" i="20"/>
  <c r="J153" i="20"/>
  <c r="J160" i="20"/>
  <c r="J17" i="20"/>
  <c r="J226" i="20"/>
  <c r="J71" i="20"/>
  <c r="J217" i="20"/>
  <c r="J227" i="20"/>
  <c r="J196" i="20"/>
  <c r="J195" i="20"/>
  <c r="J165" i="20"/>
  <c r="J243" i="20"/>
  <c r="J236" i="20"/>
  <c r="J143" i="20"/>
  <c r="J124" i="20"/>
  <c r="J105" i="20"/>
  <c r="J54" i="20"/>
  <c r="J126" i="20"/>
  <c r="J36" i="20"/>
  <c r="J97" i="20"/>
  <c r="J163" i="20"/>
  <c r="J121" i="20"/>
  <c r="J95" i="20"/>
  <c r="J166" i="20"/>
  <c r="J49" i="20"/>
  <c r="J41" i="20"/>
  <c r="J144" i="20"/>
  <c r="J61" i="20"/>
  <c r="J112" i="20"/>
  <c r="J138" i="20"/>
  <c r="J141" i="20"/>
  <c r="J216" i="20"/>
  <c r="J232" i="20"/>
  <c r="J13" i="20"/>
  <c r="J58" i="20"/>
  <c r="J31" i="20"/>
  <c r="J167" i="20"/>
  <c r="J197" i="20"/>
  <c r="J90" i="20"/>
  <c r="J32" i="20"/>
  <c r="J46" i="20"/>
  <c r="J145" i="20"/>
  <c r="J25" i="20"/>
  <c r="J130" i="20"/>
  <c r="J179" i="20"/>
  <c r="J202" i="20"/>
  <c r="J39" i="20"/>
  <c r="J172" i="20"/>
  <c r="J57" i="20"/>
  <c r="J109" i="20"/>
  <c r="J73" i="20"/>
  <c r="J214" i="20"/>
  <c r="J104" i="20"/>
  <c r="J221" i="20"/>
  <c r="J122" i="20"/>
  <c r="J27" i="20"/>
  <c r="J35" i="20"/>
  <c r="J215" i="20"/>
  <c r="J150" i="20"/>
  <c r="J99" i="20"/>
  <c r="J29" i="20"/>
  <c r="J228" i="20"/>
  <c r="J129" i="20"/>
  <c r="J211" i="20"/>
  <c r="J234" i="20"/>
  <c r="J115" i="20"/>
  <c r="J198" i="20"/>
  <c r="J12" i="20"/>
  <c r="J28" i="20"/>
  <c r="J20" i="20"/>
  <c r="J206" i="20"/>
  <c r="J219" i="20"/>
  <c r="J8" i="20" l="1"/>
  <c r="Q13" i="17"/>
  <c r="Q14" i="17"/>
  <c r="Q15" i="17"/>
  <c r="Q16" i="17"/>
  <c r="P13" i="17"/>
  <c r="P14" i="17"/>
  <c r="P15" i="17"/>
  <c r="P16" i="17"/>
  <c r="K13" i="17"/>
  <c r="K14" i="17"/>
  <c r="K15" i="17"/>
  <c r="K16" i="17"/>
  <c r="K17" i="17"/>
  <c r="K18" i="17"/>
  <c r="K19" i="17"/>
  <c r="K20" i="17"/>
  <c r="K21" i="17"/>
  <c r="K22" i="17"/>
  <c r="Q17" i="17" l="1"/>
  <c r="P17" i="17"/>
  <c r="Q22" i="17" l="1"/>
  <c r="Q18" i="17"/>
  <c r="Q21" i="17"/>
  <c r="P18" i="17"/>
  <c r="Q20" i="17"/>
  <c r="P20" i="17"/>
  <c r="P21" i="17"/>
  <c r="P22" i="17"/>
  <c r="Q19" i="17"/>
  <c r="P19" i="17"/>
  <c r="N20" i="17"/>
  <c r="N21" i="17"/>
  <c r="N22" i="17"/>
  <c r="L22" i="17" l="1"/>
  <c r="M19" i="17"/>
  <c r="L18" i="17"/>
  <c r="L19" i="17"/>
  <c r="M20" i="17"/>
  <c r="N18" i="17"/>
  <c r="L20" i="17"/>
  <c r="L21" i="17"/>
  <c r="M18" i="17"/>
  <c r="M21" i="17"/>
  <c r="N19" i="17"/>
  <c r="M22" i="17"/>
  <c r="H9" i="19" l="1"/>
  <c r="D29" i="19" l="1"/>
  <c r="D46" i="19"/>
  <c r="H61" i="19" l="1"/>
  <c r="H54" i="19"/>
  <c r="H62" i="19"/>
  <c r="H50" i="19"/>
  <c r="H55" i="19"/>
  <c r="H49" i="19"/>
  <c r="H57" i="19"/>
  <c r="H58" i="19"/>
  <c r="H53" i="19"/>
  <c r="H46" i="19"/>
  <c r="H48" i="19"/>
  <c r="H31" i="19"/>
  <c r="H35" i="19"/>
  <c r="H43" i="19"/>
  <c r="H36" i="19"/>
  <c r="H44" i="19"/>
  <c r="H39" i="19"/>
  <c r="H32" i="19"/>
  <c r="H40" i="19"/>
  <c r="H37" i="19"/>
  <c r="H45" i="19"/>
  <c r="H30" i="19"/>
  <c r="H33" i="19"/>
  <c r="J25" i="19"/>
  <c r="H25" i="19"/>
  <c r="H52" i="19"/>
  <c r="J19" i="19"/>
  <c r="H19" i="19"/>
  <c r="J14" i="19"/>
  <c r="H14" i="19"/>
  <c r="J15" i="19"/>
  <c r="H15" i="19"/>
  <c r="J23" i="19"/>
  <c r="H23" i="19"/>
  <c r="J24" i="19"/>
  <c r="H24" i="19"/>
  <c r="H41" i="19"/>
  <c r="J17" i="19"/>
  <c r="H17" i="19"/>
  <c r="H59" i="19"/>
  <c r="H42" i="19"/>
  <c r="H26" i="19"/>
  <c r="J26" i="19"/>
  <c r="H60" i="19"/>
  <c r="J27" i="19"/>
  <c r="H27" i="19"/>
  <c r="J20" i="19"/>
  <c r="H20" i="19"/>
  <c r="H28" i="19"/>
  <c r="J28" i="19"/>
  <c r="J21" i="19"/>
  <c r="H21" i="19"/>
  <c r="H47" i="19"/>
  <c r="H38" i="19"/>
  <c r="J16" i="19"/>
  <c r="H16" i="19"/>
  <c r="H51" i="19"/>
  <c r="H34" i="19"/>
  <c r="J18" i="19"/>
  <c r="H18" i="19"/>
  <c r="J22" i="19"/>
  <c r="H22" i="19"/>
  <c r="H56" i="19"/>
  <c r="H11" i="19"/>
  <c r="J11" i="19"/>
  <c r="H29" i="19"/>
  <c r="J10" i="19"/>
  <c r="J9" i="19" s="1"/>
  <c r="H10" i="19"/>
  <c r="F12" i="19"/>
  <c r="H12" i="19" s="1"/>
  <c r="J12" i="19" l="1"/>
  <c r="J42" i="19"/>
  <c r="J55" i="19"/>
  <c r="J39" i="19"/>
  <c r="J53" i="19"/>
  <c r="J35" i="19"/>
  <c r="J45" i="19"/>
  <c r="J47" i="19"/>
  <c r="J33" i="19"/>
  <c r="J32" i="19"/>
  <c r="J51" i="19"/>
  <c r="J62" i="19"/>
  <c r="J37" i="19"/>
  <c r="J44" i="19"/>
  <c r="J49" i="19"/>
  <c r="J54" i="19"/>
  <c r="J34" i="19"/>
  <c r="J56" i="19"/>
  <c r="J58" i="19"/>
  <c r="J60" i="19"/>
  <c r="J61" i="19"/>
  <c r="J48" i="19"/>
  <c r="J59" i="19"/>
  <c r="J38" i="19"/>
  <c r="J43" i="19"/>
  <c r="J57" i="19"/>
  <c r="J50" i="19"/>
  <c r="J52" i="19"/>
  <c r="J41" i="19"/>
  <c r="J30" i="19"/>
  <c r="J40" i="19"/>
  <c r="J36" i="19"/>
  <c r="J31" i="19"/>
  <c r="J46" i="19" l="1"/>
  <c r="J29" i="19"/>
  <c r="D16" i="17" l="1"/>
  <c r="L17" i="17" l="1"/>
  <c r="E16" i="17" l="1"/>
  <c r="F16" i="17"/>
  <c r="E15" i="17"/>
  <c r="F15" i="17"/>
  <c r="D15" i="17"/>
  <c r="E14" i="17"/>
  <c r="F14" i="17"/>
  <c r="D14" i="17"/>
  <c r="E13" i="17"/>
  <c r="F13" i="17"/>
  <c r="D13" i="17"/>
  <c r="E12" i="17"/>
  <c r="F12" i="17"/>
  <c r="D12" i="17"/>
  <c r="E11" i="17"/>
  <c r="F11" i="17"/>
  <c r="D11" i="17"/>
  <c r="L14" i="17" l="1"/>
  <c r="N14" i="17"/>
  <c r="L12" i="17"/>
  <c r="M14" i="17"/>
  <c r="N15" i="17"/>
  <c r="N12" i="17"/>
  <c r="M12" i="17"/>
  <c r="L13" i="17"/>
  <c r="M15" i="17"/>
  <c r="L15" i="17"/>
  <c r="L16" i="17"/>
  <c r="N13" i="17"/>
  <c r="N16" i="17"/>
  <c r="N17" i="17"/>
  <c r="M13" i="17"/>
  <c r="M16" i="17"/>
  <c r="M17" i="17"/>
  <c r="F8" i="18" l="1"/>
  <c r="I19" i="23" l="1"/>
  <c r="J11" i="23" s="1"/>
  <c r="J18" i="23" l="1"/>
  <c r="J9" i="23"/>
  <c r="J13" i="23"/>
  <c r="J16" i="23"/>
  <c r="J10" i="23"/>
  <c r="J17" i="23"/>
  <c r="J15" i="23"/>
  <c r="J12" i="23"/>
  <c r="J14" i="23"/>
  <c r="J19" i="23" l="1"/>
</calcChain>
</file>

<file path=xl/sharedStrings.xml><?xml version="1.0" encoding="utf-8"?>
<sst xmlns="http://schemas.openxmlformats.org/spreadsheetml/2006/main" count="903" uniqueCount="383">
  <si>
    <t>Hombres</t>
  </si>
  <si>
    <t>Mujeres</t>
  </si>
  <si>
    <t>Total</t>
  </si>
  <si>
    <t xml:space="preserve">   0-4</t>
  </si>
  <si>
    <t xml:space="preserve">   5-9</t>
  </si>
  <si>
    <t xml:space="preserve">   10-14</t>
  </si>
  <si>
    <t xml:space="preserve">   15-19</t>
  </si>
  <si>
    <t xml:space="preserve">   20-24</t>
  </si>
  <si>
    <t xml:space="preserve">   25-29</t>
  </si>
  <si>
    <t xml:space="preserve">   30-34</t>
  </si>
  <si>
    <t xml:space="preserve">   35-39</t>
  </si>
  <si>
    <t xml:space="preserve">   40-44</t>
  </si>
  <si>
    <t xml:space="preserve">   45-49</t>
  </si>
  <si>
    <t xml:space="preserve">   50-54</t>
  </si>
  <si>
    <t xml:space="preserve">   55-59</t>
  </si>
  <si>
    <t xml:space="preserve">   60-64</t>
  </si>
  <si>
    <t>..</t>
  </si>
  <si>
    <t>Año</t>
  </si>
  <si>
    <t>Población migrante por sexo</t>
  </si>
  <si>
    <t>Distribución porcentual
de los inmigrantes</t>
  </si>
  <si>
    <t>Rusia</t>
  </si>
  <si>
    <t>Alemania</t>
  </si>
  <si>
    <t>Arabia Saudita</t>
  </si>
  <si>
    <t>Canadá</t>
  </si>
  <si>
    <t>Francia</t>
  </si>
  <si>
    <t>España</t>
  </si>
  <si>
    <t>India</t>
  </si>
  <si>
    <t>Ucrania</t>
  </si>
  <si>
    <t>Australia</t>
  </si>
  <si>
    <t>Italia</t>
  </si>
  <si>
    <t>Pakistán</t>
  </si>
  <si>
    <t>²⁾ Las regiones menos desarrolladas abarcan todas las regiones de África, Asia (excepto Japón), América Latina y el Caribe, Melanesia, Micronesia y Polinesia.</t>
  </si>
  <si>
    <t>Afganistán</t>
  </si>
  <si>
    <t>México</t>
  </si>
  <si>
    <t>Bangladesh</t>
  </si>
  <si>
    <t>Emiratos Árabes Unidos</t>
  </si>
  <si>
    <t>Filipinas</t>
  </si>
  <si>
    <t>Turquía</t>
  </si>
  <si>
    <t>Polonia</t>
  </si>
  <si>
    <t>Egipto</t>
  </si>
  <si>
    <t>Tailandia</t>
  </si>
  <si>
    <t>Rumania</t>
  </si>
  <si>
    <t>Indonesia</t>
  </si>
  <si>
    <t>China</t>
  </si>
  <si>
    <t>Kazajstán</t>
  </si>
  <si>
    <t>Población Mundial (miles)</t>
  </si>
  <si>
    <t>Inmigrantes como porcentaje de la población mundial</t>
  </si>
  <si>
    <t>65-69</t>
  </si>
  <si>
    <t>70-74</t>
  </si>
  <si>
    <t>75+</t>
  </si>
  <si>
    <t>Destino</t>
  </si>
  <si>
    <t>Estados Unidos</t>
  </si>
  <si>
    <t>Origen</t>
  </si>
  <si>
    <t>Paises (Destino)</t>
  </si>
  <si>
    <t>Paises (Origen)</t>
  </si>
  <si>
    <t>Migrantes como porcentaje de la población mundial</t>
  </si>
  <si>
    <t>Distribución porcentual
de los migrantes</t>
  </si>
  <si>
    <t>Myanmar</t>
  </si>
  <si>
    <t>Puerto Rico</t>
  </si>
  <si>
    <t>Población mundial</t>
  </si>
  <si>
    <t xml:space="preserve">Total de migrantes </t>
  </si>
  <si>
    <t xml:space="preserve"> Nivel de desarrollo</t>
  </si>
  <si>
    <t>Total de migrantes</t>
  </si>
  <si>
    <t>Absoluto (miles)</t>
  </si>
  <si>
    <t>Población emigrante (miles)</t>
  </si>
  <si>
    <t>Emigrantes como porcentaje de la población mundial</t>
  </si>
  <si>
    <t>Distribución porcentual
de los emigrantes</t>
  </si>
  <si>
    <t>Población mundial (miles)</t>
  </si>
  <si>
    <t>Población inmigrante
(miles)</t>
  </si>
  <si>
    <t>Población migrante
(miles)</t>
  </si>
  <si>
    <t>Población en miles</t>
  </si>
  <si>
    <t>Regiones y nivel de desarrollo</t>
  </si>
  <si>
    <t>Sudáfrica</t>
  </si>
  <si>
    <t>Malasia</t>
  </si>
  <si>
    <t>Notas: ¹⁾ Incluye: Europa y América del Norte, Australia, Nueva Zelanda y Japón</t>
  </si>
  <si>
    <t>Sur-Norte</t>
  </si>
  <si>
    <t>Sur-Sur</t>
  </si>
  <si>
    <t>Reino Unido</t>
  </si>
  <si>
    <t>Norte-Sur</t>
  </si>
  <si>
    <t>Croacia</t>
  </si>
  <si>
    <t>Serbia</t>
  </si>
  <si>
    <t>Chile</t>
  </si>
  <si>
    <t>Argentina</t>
  </si>
  <si>
    <t>% corredor por dirección</t>
  </si>
  <si>
    <t>Otros</t>
  </si>
  <si>
    <r>
      <t>Regiones más desarrolladas</t>
    </r>
    <r>
      <rPr>
        <b/>
        <vertAlign val="superscript"/>
        <sz val="10"/>
        <color theme="0"/>
        <rFont val="Montserrat"/>
      </rPr>
      <t>1</t>
    </r>
  </si>
  <si>
    <r>
      <t>Regiones menos desarolladas</t>
    </r>
    <r>
      <rPr>
        <b/>
        <vertAlign val="superscript"/>
        <sz val="10"/>
        <color theme="0"/>
        <rFont val="Montserrat"/>
      </rPr>
      <t>2</t>
    </r>
  </si>
  <si>
    <t>Fuente: De 1960 a 1985, elaboración del CONAPO con cifras de la División de Población de las Naciones Unidas, revisión 2008.</t>
  </si>
  <si>
    <t xml:space="preserve">Tasa anual de crecimiento </t>
  </si>
  <si>
    <t>Kuwait</t>
  </si>
  <si>
    <t>China, RAE de Hong Kong</t>
  </si>
  <si>
    <t>Suiza</t>
  </si>
  <si>
    <t>Costa de Marfil</t>
  </si>
  <si>
    <t>Japón</t>
  </si>
  <si>
    <t>Omán</t>
  </si>
  <si>
    <t>Países Bajos</t>
  </si>
  <si>
    <t>Katar</t>
  </si>
  <si>
    <t>Singapur</t>
  </si>
  <si>
    <t>Suecia</t>
  </si>
  <si>
    <t>Bélgica</t>
  </si>
  <si>
    <t>Israel</t>
  </si>
  <si>
    <t>Líbano</t>
  </si>
  <si>
    <t>Austria</t>
  </si>
  <si>
    <t>Uganda</t>
  </si>
  <si>
    <t>Nigeria</t>
  </si>
  <si>
    <t>Etiopía</t>
  </si>
  <si>
    <t>Sudán</t>
  </si>
  <si>
    <t>Grecia</t>
  </si>
  <si>
    <t>Uzbekistán</t>
  </si>
  <si>
    <t>Colombia</t>
  </si>
  <si>
    <t>Bielorrusia</t>
  </si>
  <si>
    <t>Nueva Zelanda</t>
  </si>
  <si>
    <t>Kenia</t>
  </si>
  <si>
    <t>República Democrática del Congo</t>
  </si>
  <si>
    <t>Portugal</t>
  </si>
  <si>
    <t>Noruega</t>
  </si>
  <si>
    <t>Sudán del Sur</t>
  </si>
  <si>
    <t>Irlanda</t>
  </si>
  <si>
    <t>Libia</t>
  </si>
  <si>
    <t>Brasil</t>
  </si>
  <si>
    <t>Perú</t>
  </si>
  <si>
    <t>Bahrein</t>
  </si>
  <si>
    <t>Dinamarca</t>
  </si>
  <si>
    <t>Burkina Faso</t>
  </si>
  <si>
    <t>Angola</t>
  </si>
  <si>
    <t>República Dominicana</t>
  </si>
  <si>
    <t>Ruanda</t>
  </si>
  <si>
    <t>Chequia</t>
  </si>
  <si>
    <t>Chad</t>
  </si>
  <si>
    <t>Hungría</t>
  </si>
  <si>
    <t>República Unida de Tanzania</t>
  </si>
  <si>
    <t>Camerún</t>
  </si>
  <si>
    <t>Nepal</t>
  </si>
  <si>
    <t>Mali</t>
  </si>
  <si>
    <t>Ghana</t>
  </si>
  <si>
    <t>Costa Rica</t>
  </si>
  <si>
    <t>Gabón</t>
  </si>
  <si>
    <t>Zimbabue</t>
  </si>
  <si>
    <t>Congo</t>
  </si>
  <si>
    <t>China, RAE de Macao</t>
  </si>
  <si>
    <t>Benin</t>
  </si>
  <si>
    <t>Yemen</t>
  </si>
  <si>
    <t>Finlandia</t>
  </si>
  <si>
    <t>Ecuador</t>
  </si>
  <si>
    <t>Irak</t>
  </si>
  <si>
    <t>Mozambique</t>
  </si>
  <si>
    <t>Burundi</t>
  </si>
  <si>
    <t>Níger</t>
  </si>
  <si>
    <t>Luxemburgo</t>
  </si>
  <si>
    <t>Senegal</t>
  </si>
  <si>
    <t>Tayikistán</t>
  </si>
  <si>
    <t>Azerbaiyán</t>
  </si>
  <si>
    <t>Eslovenia</t>
  </si>
  <si>
    <t>Argelia</t>
  </si>
  <si>
    <t>Malawi</t>
  </si>
  <si>
    <t>Letonia</t>
  </si>
  <si>
    <t>Guinea Ecuatorial</t>
  </si>
  <si>
    <t>Gambia</t>
  </si>
  <si>
    <t>Kirguistán</t>
  </si>
  <si>
    <t>Turkmenistán</t>
  </si>
  <si>
    <t>Chipre</t>
  </si>
  <si>
    <t>Estonia</t>
  </si>
  <si>
    <t>Armenia</t>
  </si>
  <si>
    <t>Eslovaquia</t>
  </si>
  <si>
    <t>Panamá</t>
  </si>
  <si>
    <t>Mauritania</t>
  </si>
  <si>
    <t>Zambia</t>
  </si>
  <si>
    <t>Bulgaria</t>
  </si>
  <si>
    <t>Paraguay</t>
  </si>
  <si>
    <t>Macedonia del norte</t>
  </si>
  <si>
    <t>Reunión</t>
  </si>
  <si>
    <t>Guinea</t>
  </si>
  <si>
    <t>Guayana Francesa</t>
  </si>
  <si>
    <t>Lituania</t>
  </si>
  <si>
    <t>Djibouti</t>
  </si>
  <si>
    <t>Brunei Darussalam</t>
  </si>
  <si>
    <t>Botsuana</t>
  </si>
  <si>
    <t>Namibia</t>
  </si>
  <si>
    <t>Guadalupe</t>
  </si>
  <si>
    <t>Marruecos</t>
  </si>
  <si>
    <t>Liberia</t>
  </si>
  <si>
    <t>República Centroafricana</t>
  </si>
  <si>
    <t>Malta</t>
  </si>
  <si>
    <t>Islas del Canal</t>
  </si>
  <si>
    <t>Uruguay</t>
  </si>
  <si>
    <t>Guatemala</t>
  </si>
  <si>
    <t>Guam</t>
  </si>
  <si>
    <t>Georgia</t>
  </si>
  <si>
    <t>Camboya</t>
  </si>
  <si>
    <t>Vietnam</t>
  </si>
  <si>
    <t>Mayotte</t>
  </si>
  <si>
    <t>Nueva Caledonia</t>
  </si>
  <si>
    <t>Montenegro</t>
  </si>
  <si>
    <t>Maldivas</t>
  </si>
  <si>
    <t>Bahamas</t>
  </si>
  <si>
    <t>Martinica</t>
  </si>
  <si>
    <t>Belice</t>
  </si>
  <si>
    <t>Trinidad y Tobago</t>
  </si>
  <si>
    <t>Islas Vírgenes de los Estados Unidos</t>
  </si>
  <si>
    <t>Sierra Leona</t>
  </si>
  <si>
    <t>Bután</t>
  </si>
  <si>
    <t>Islandia</t>
  </si>
  <si>
    <t>Somalia</t>
  </si>
  <si>
    <t>Albania</t>
  </si>
  <si>
    <t>República Democrática Popular Lao</t>
  </si>
  <si>
    <t>Surinam</t>
  </si>
  <si>
    <t>Andorra</t>
  </si>
  <si>
    <t>El Salvador</t>
  </si>
  <si>
    <t>Nicaragua</t>
  </si>
  <si>
    <t>Curazao</t>
  </si>
  <si>
    <t>Sri Lanka</t>
  </si>
  <si>
    <t>Honduras</t>
  </si>
  <si>
    <t>Aruba</t>
  </si>
  <si>
    <t>Bosnia y Herzegovina</t>
  </si>
  <si>
    <t>Madagascar</t>
  </si>
  <si>
    <t>Barbados</t>
  </si>
  <si>
    <t>Eswatini</t>
  </si>
  <si>
    <t>Papúa Nueva Guinea</t>
  </si>
  <si>
    <t>Antigua y Barbuda</t>
  </si>
  <si>
    <t>Islas Caimán</t>
  </si>
  <si>
    <t>Mauricio</t>
  </si>
  <si>
    <t>Guinea-Bissau</t>
  </si>
  <si>
    <t>Mónaco</t>
  </si>
  <si>
    <t>Liechtenstein</t>
  </si>
  <si>
    <t>Islas Turcas y Caicos</t>
  </si>
  <si>
    <t>Samoa Americana</t>
  </si>
  <si>
    <t>Jamaica</t>
  </si>
  <si>
    <t>Islas Marianas del Norte</t>
  </si>
  <si>
    <t>Mongolia</t>
  </si>
  <si>
    <t>Islas Vírgenes Británicas</t>
  </si>
  <si>
    <t>islas Bermudas</t>
  </si>
  <si>
    <t>Haití</t>
  </si>
  <si>
    <t>Eritrea</t>
  </si>
  <si>
    <t>Guayana</t>
  </si>
  <si>
    <t>Cabo Verde</t>
  </si>
  <si>
    <t>Bonaire, San Eustaquio y Saba</t>
  </si>
  <si>
    <t>Fiyi</t>
  </si>
  <si>
    <t>Seychelles</t>
  </si>
  <si>
    <t>Comoras</t>
  </si>
  <si>
    <t>Gibraltar</t>
  </si>
  <si>
    <t>Timor-Leste</t>
  </si>
  <si>
    <t>Santa Lucía</t>
  </si>
  <si>
    <t>Dominica</t>
  </si>
  <si>
    <t>San Cristóbal y Nieves</t>
  </si>
  <si>
    <t>Granada</t>
  </si>
  <si>
    <t>Lesoto</t>
  </si>
  <si>
    <t>Islas Faroe</t>
  </si>
  <si>
    <t>Groenlandia</t>
  </si>
  <si>
    <t>Anguila</t>
  </si>
  <si>
    <t>San Marino</t>
  </si>
  <si>
    <t>Sahara Occidental</t>
  </si>
  <si>
    <t>Palau</t>
  </si>
  <si>
    <t>Cuba</t>
  </si>
  <si>
    <t>San Vicente y las Granadinas</t>
  </si>
  <si>
    <t>Samoa</t>
  </si>
  <si>
    <t>Tonga</t>
  </si>
  <si>
    <t>Islas Cook</t>
  </si>
  <si>
    <t>Islas Marshall</t>
  </si>
  <si>
    <t>Vanuatu</t>
  </si>
  <si>
    <t>Kiribati</t>
  </si>
  <si>
    <t>Islas Salomón</t>
  </si>
  <si>
    <t>Santo Tomé y Príncipe</t>
  </si>
  <si>
    <t>Nauru</t>
  </si>
  <si>
    <t>Montserrat</t>
  </si>
  <si>
    <t>Islas Wallis y Futuna</t>
  </si>
  <si>
    <t>San Pedro y Miquelón</t>
  </si>
  <si>
    <t>Santa Sede</t>
  </si>
  <si>
    <t>Niue</t>
  </si>
  <si>
    <t>Tokelau</t>
  </si>
  <si>
    <t>Santa helena</t>
  </si>
  <si>
    <t>Tuvalu</t>
  </si>
  <si>
    <t>Venezuela</t>
  </si>
  <si>
    <t>Corea del Sur</t>
  </si>
  <si>
    <t>Siria</t>
  </si>
  <si>
    <t>Togo</t>
  </si>
  <si>
    <t>Bolivia</t>
  </si>
  <si>
    <t>Corea del Norte</t>
  </si>
  <si>
    <t>Isla de Man</t>
  </si>
  <si>
    <t>Saint Maarten (parte holandesa)</t>
  </si>
  <si>
    <t xml:space="preserve">Micronesia </t>
  </si>
  <si>
    <t>Islas Malvinas</t>
  </si>
  <si>
    <t>Jordán</t>
  </si>
  <si>
    <t>Irán</t>
  </si>
  <si>
    <t>--</t>
  </si>
  <si>
    <r>
      <t xml:space="preserve">Notas: </t>
    </r>
    <r>
      <rPr>
        <vertAlign val="superscript"/>
        <sz val="8"/>
        <color theme="1"/>
        <rFont val="Montserrat"/>
      </rPr>
      <t xml:space="preserve">1 </t>
    </r>
    <r>
      <rPr>
        <sz val="8"/>
        <color theme="1"/>
        <rFont val="Montserrat"/>
      </rPr>
      <t>Palestina Incluye el este de Jerusalén. Los refugiados no son parte de la población migrante nacida en el extranjero en el Estado de Palestina.</t>
    </r>
  </si>
  <si>
    <t>Grupos de edad y sexo</t>
  </si>
  <si>
    <t>Grupos de Edad</t>
  </si>
  <si>
    <t>Sexo</t>
  </si>
  <si>
    <t>Posición</t>
  </si>
  <si>
    <t>País de origen</t>
  </si>
  <si>
    <t>País de destino</t>
  </si>
  <si>
    <t>Stock (miles)</t>
  </si>
  <si>
    <t>Stock (%)</t>
  </si>
  <si>
    <t xml:space="preserve">Otros </t>
  </si>
  <si>
    <t>Sur - Norte</t>
  </si>
  <si>
    <t>Sur - Sur</t>
  </si>
  <si>
    <t>Norte - Norte</t>
  </si>
  <si>
    <r>
      <t>Dirección de la migración</t>
    </r>
    <r>
      <rPr>
        <b/>
        <vertAlign val="superscript"/>
        <sz val="10"/>
        <color theme="0"/>
        <rFont val="Montserrat"/>
      </rPr>
      <t xml:space="preserve"> 1</t>
    </r>
  </si>
  <si>
    <t>Total general</t>
  </si>
  <si>
    <r>
      <t>Estado de Palestina</t>
    </r>
    <r>
      <rPr>
        <vertAlign val="superscript"/>
        <sz val="9"/>
        <color theme="1"/>
        <rFont val="Montserrat"/>
      </rPr>
      <t xml:space="preserve"> 2</t>
    </r>
  </si>
  <si>
    <t>%</t>
  </si>
  <si>
    <t>África Subsahariana</t>
  </si>
  <si>
    <t>Población emigrante hombres (miles)</t>
  </si>
  <si>
    <t>Población emigrante mujeres (miles)</t>
  </si>
  <si>
    <t>Grupos de Edad (Hombres)</t>
  </si>
  <si>
    <t>Grupos de Edad (Mujeres)</t>
  </si>
  <si>
    <t>Población Inmigrante mujeres (miles)</t>
  </si>
  <si>
    <t>Población Inmigrante hombres (miles)</t>
  </si>
  <si>
    <t>.</t>
  </si>
  <si>
    <t>Fecha de consulta: noviembre de 2020.</t>
  </si>
  <si>
    <t>I.2. Población migrante internacional según sexo y grupos de edad, 2020</t>
  </si>
  <si>
    <t>I.3. Población mundial e inmigrantes según sexo por país de destino, 2020</t>
  </si>
  <si>
    <t>I.4. Población mundial y emigrante según sexo por país de origen, 2020</t>
  </si>
  <si>
    <t>I.5. Regiones de origen y destino de la población migrante internacional, 2020</t>
  </si>
  <si>
    <t>I.6. Stock migratorio de los corredores migratorios mundiales (origen - destino) con flujos superiores a 1 millón de personas, 2020</t>
  </si>
  <si>
    <t>Volver</t>
  </si>
  <si>
    <t>Fecha de consulta: marzo de 2022.</t>
  </si>
  <si>
    <t xml:space="preserve">Fuente: De 1990 a 2020, elaboración del CONAPO con cifras de la División de Población de las Naciones Unidas, revisión 2019. </t>
  </si>
  <si>
    <t>Recuperado de: https://population.un.org/wpp/DataQuery/ y
https://www.un.org/development/desa/pd/content/international-migrant-stock</t>
  </si>
  <si>
    <t>Fuente: Elaboración del CONAPO con base en cifras de la División de Población de las Naciones Unidas, revisión 2019
 y Stock Migrante Internacional 2020.</t>
  </si>
  <si>
    <t>Fuente: Stock Migrante Internacional 2020.</t>
  </si>
  <si>
    <t>Recuperado de: https://population.un.org/wpp/DataQuery/ y 
https://www.un.org/development/desa/pd/content/international-migrant-stock</t>
  </si>
  <si>
    <t>República de Moldavia</t>
  </si>
  <si>
    <t>Polinesia francesa</t>
  </si>
  <si>
    <t>Taiwan, Provincia de China</t>
  </si>
  <si>
    <t>San Bartolomé (Francia)</t>
  </si>
  <si>
    <t>República de Tunisia</t>
  </si>
  <si>
    <t>Isla de San Martín (Francia)</t>
  </si>
  <si>
    <r>
      <t xml:space="preserve">Estado de Palestina </t>
    </r>
    <r>
      <rPr>
        <vertAlign val="superscript"/>
        <sz val="8"/>
        <color theme="1"/>
        <rFont val="Montserrat"/>
      </rPr>
      <t>1</t>
    </r>
  </si>
  <si>
    <t>Fuente: Elaboración del CONAPO con base en cifras de la División de Población de las Naciones Unidas, revisión 2019  y Stock Migrante Internacional 2020.</t>
  </si>
  <si>
    <t>Túnez</t>
  </si>
  <si>
    <t>Matriz de flujos regional  (origen- destino) de la población migrante internacional, 2020</t>
  </si>
  <si>
    <t>Uzbekistan</t>
  </si>
  <si>
    <t>Turquia</t>
  </si>
  <si>
    <t>Emiratos Arabes Unidos</t>
  </si>
  <si>
    <t>Fuente: Elaboración del CONAPO con base en cifras de la División de Población de las Naciones Unidas, revisión 2020.</t>
  </si>
  <si>
    <t>Recuperado de: https://www.un.org/development/desa/pd/content/international-migrant-stock</t>
  </si>
  <si>
    <t>Fecha de consulta: marzo de 2020.</t>
  </si>
  <si>
    <t>Total Norte- Norte</t>
  </si>
  <si>
    <t xml:space="preserve">Chile </t>
  </si>
  <si>
    <t>Total Sur - Sur</t>
  </si>
  <si>
    <t>Total Sur - Norte</t>
  </si>
  <si>
    <t>Total Norte - Sur</t>
  </si>
  <si>
    <t xml:space="preserve">  Arabia Saudita</t>
  </si>
  <si>
    <t>Otro</t>
  </si>
  <si>
    <t>Norte</t>
  </si>
  <si>
    <t>Sur</t>
  </si>
  <si>
    <t>Otro-Sur</t>
  </si>
  <si>
    <t>Otro-Norte</t>
  </si>
  <si>
    <r>
      <t>Dirección</t>
    </r>
    <r>
      <rPr>
        <b/>
        <vertAlign val="superscript"/>
        <sz val="10"/>
        <color theme="0"/>
        <rFont val="Montserrat"/>
      </rPr>
      <t>1</t>
    </r>
  </si>
  <si>
    <r>
      <t xml:space="preserve">Nota:
 </t>
    </r>
    <r>
      <rPr>
        <vertAlign val="superscript"/>
        <sz val="8"/>
        <color theme="1"/>
        <rFont val="Montserrat"/>
      </rPr>
      <t>1</t>
    </r>
    <r>
      <rPr>
        <sz val="8"/>
        <color theme="1"/>
        <rFont val="Montserrat"/>
      </rPr>
      <t xml:space="preserve"> De acuerdo con la clasificación del Banco Mundial, en términos generales por "Norte" se entiende los países de ingresos altos, y por "Sur" los países de ingresos medios y bajos.
A partir de esta clasificación se pueden distinguir cuatro rutas migratorias que permiten analizar los patrones migratorios mundiales desde una perspectiva más amplia que se aparta de los estudios tradicionales: Sur- Norte, Sur- Sur, Norte- Sur y Norte- Norte.</t>
    </r>
  </si>
  <si>
    <t>Norte-Norte*</t>
  </si>
  <si>
    <t>*El corredor migratorio de Puerto Rico - Estados Unidos (1 829) de la dirección Norte - Norte no es representado debido a que Puerto Rico esta bajo soberanía de Estados Unidos.</t>
  </si>
  <si>
    <r>
      <t xml:space="preserve">Nota: </t>
    </r>
    <r>
      <rPr>
        <vertAlign val="superscript"/>
        <sz val="8"/>
        <color theme="1"/>
        <rFont val="Montserrat"/>
      </rPr>
      <t xml:space="preserve">1 </t>
    </r>
    <r>
      <rPr>
        <sz val="8"/>
        <color theme="1"/>
        <rFont val="Montserrat"/>
      </rPr>
      <t xml:space="preserve">De acuerdo con la clasificación del Banco Mundial, en términos generales por "Norte" se entiende los países de ingresos altos, y por "Sur" los países de ingresos medios y bajos. A partir de esta clasificación se pueden distinguir cuatro rutas migratorias que permiten analizar los patrones migratorios mundiales desde una perspectiva más amplia que se aparta de los estudios tradicionales: Sur- Norte, Sur- Sur, Norte- Sur y Norte- Norte.
</t>
    </r>
    <r>
      <rPr>
        <vertAlign val="superscript"/>
        <sz val="8"/>
        <color theme="1"/>
        <rFont val="Montserrat"/>
      </rPr>
      <t xml:space="preserve">2  </t>
    </r>
    <r>
      <rPr>
        <sz val="8"/>
        <color theme="1"/>
        <rFont val="Montserrat"/>
      </rPr>
      <t>Palestina Incluye el este de Jerusalén. Los refugiados no son parte de la población migrante nacida en el extranjero en el Estado de Palestina.</t>
    </r>
  </si>
  <si>
    <t>I.7. Principales corredores migratorios en las cuatro direcciones de la migración, 2020</t>
  </si>
  <si>
    <t>1.7. Principales corredores migratorios en las cuatro direcciones de la migración, 2020</t>
  </si>
  <si>
    <t>Europa (Alto ingreso)</t>
  </si>
  <si>
    <t>América del Norte</t>
  </si>
  <si>
    <t>Europa Oriental y Asia Central</t>
  </si>
  <si>
    <t>Medio Oriente (Alto ingreso)</t>
  </si>
  <si>
    <t>Asia Oriental y el Pacífico (Alto ingreso)</t>
  </si>
  <si>
    <t>Medio Oriente y Norte de África (Países en desarrollo)</t>
  </si>
  <si>
    <t>Sur de Asia</t>
  </si>
  <si>
    <t>América Latina y El Caribe</t>
  </si>
  <si>
    <t>No especificado</t>
  </si>
  <si>
    <t>Asia Oriental y el Pacífico
 (Países en desarrollo)</t>
  </si>
  <si>
    <t>Medio Oriente y Norte de África
 (Países en desarrollo)</t>
  </si>
  <si>
    <t>Asia Oriental y el Pacífico
(Países en desarrollo)</t>
  </si>
  <si>
    <t>Asia Oriental y el Pacífico
(Alto ingreso)</t>
  </si>
  <si>
    <t>Medio Oriente y Norte de África
(Países en desarrollo)</t>
  </si>
  <si>
    <t>Emigrantes</t>
  </si>
  <si>
    <t>Inmigrantes</t>
  </si>
  <si>
    <r>
      <t>Región de Origen</t>
    </r>
    <r>
      <rPr>
        <b/>
        <vertAlign val="superscript"/>
        <sz val="10"/>
        <color theme="0"/>
        <rFont val="Montserrat"/>
      </rPr>
      <t>1</t>
    </r>
  </si>
  <si>
    <r>
      <t>Región de Destino</t>
    </r>
    <r>
      <rPr>
        <b/>
        <vertAlign val="superscript"/>
        <sz val="10"/>
        <color theme="0"/>
        <rFont val="Montserrat"/>
      </rPr>
      <t>1</t>
    </r>
  </si>
  <si>
    <r>
      <t>Regiones de Origen</t>
    </r>
    <r>
      <rPr>
        <b/>
        <vertAlign val="superscript"/>
        <sz val="10"/>
        <color theme="0"/>
        <rFont val="Montserrat"/>
      </rPr>
      <t>1</t>
    </r>
  </si>
  <si>
    <r>
      <t>Regiones de Destino</t>
    </r>
    <r>
      <rPr>
        <b/>
        <vertAlign val="superscript"/>
        <sz val="10"/>
        <color theme="0"/>
        <rFont val="Montserrat"/>
      </rPr>
      <t>1</t>
    </r>
  </si>
  <si>
    <t xml:space="preserve">Notas: </t>
  </si>
  <si>
    <t>Fuente: Elaboración del CONAPO con base en cifras de la División de Población de las Naciones Unidas, Stock Migrante Internacional, revisión 2020.</t>
  </si>
  <si>
    <t>I.1. Total de población mundial y migrante según sexo, y su disribución según región de destino por nivel de desarrollo, 1960 - 2020</t>
  </si>
  <si>
    <t>I.3. Población mundial e inmigrante según sexo por país de destino, 2019</t>
  </si>
  <si>
    <t>--: Representa 0.</t>
  </si>
  <si>
    <r>
      <rPr>
        <vertAlign val="superscript"/>
        <sz val="8"/>
        <rFont val="Montserrat"/>
      </rPr>
      <t>1</t>
    </r>
    <r>
      <rPr>
        <sz val="8"/>
        <rFont val="Montserrat"/>
      </rPr>
      <t xml:space="preserve"> La clasificación esta basada en la clasificación de paises por grupo de desarrollo, regiones y subregiones del anexo del Stock Migrante Internacional.
Disponible en: https://www.un.org/development/desa/pd/content/international-migrant-stock</t>
    </r>
  </si>
  <si>
    <t>I. Migración Mundial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</si>
</sst>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164" formatCode="_(* #,##0.00_);_(* \(#,##0.00\);_(* &quot;-&quot;??_);_(@_)"/>
    <numFmt numFmtId="165" formatCode="#\ ###\ ###\ ##0;\-#\ ###\ ###\ ##0;0"/>
    <numFmt numFmtId="166" formatCode="0.0"/>
    <numFmt numFmtId="167" formatCode="#\ ###\ ###"/>
    <numFmt numFmtId="168" formatCode="mmm\ dd\,\ yyyy"/>
    <numFmt numFmtId="169" formatCode="_-* #\ ###\ ##0\ \ \ _-;\-* #\ ###\ ##0\ \ \ _-;_-* &quot;---&quot;_-;_-@_-"/>
    <numFmt numFmtId="170" formatCode="###\ ###"/>
    <numFmt numFmtId="171" formatCode="###\ ###\ ###"/>
    <numFmt numFmtId="172" formatCode="###.0\ ###\ ###"/>
    <numFmt numFmtId="173" formatCode="0.0%"/>
    <numFmt numFmtId="174" formatCode="#,##0.0"/>
    <numFmt numFmtId="175" formatCode="0.000"/>
    <numFmt numFmtId="176" formatCode="\-\-"/>
    <numFmt numFmtId="177" formatCode="###.0######"/>
    <numFmt numFmtId="178" formatCode="###.0\ ###"/>
    <numFmt numFmtId="179" formatCode="###.0###"/>
    <numFmt numFmtId="180" formatCode="###\ ###\ ##0;\-###\ ###\ ##0;..;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10"/>
      <color indexed="56"/>
      <name val="Times New Roman"/>
      <family val="1"/>
    </font>
    <font>
      <sz val="10"/>
      <name val="Courier New Cyr"/>
      <charset val="204"/>
    </font>
    <font>
      <sz val="11"/>
      <color indexed="60"/>
      <name val="Calibri"/>
      <family val="2"/>
    </font>
    <font>
      <sz val="10"/>
      <color indexed="8"/>
      <name val="Calibri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b/>
      <sz val="11"/>
      <color indexed="8"/>
      <name val="Calibri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color theme="1"/>
      <name val="Montserrat"/>
    </font>
    <font>
      <b/>
      <sz val="14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10"/>
      <name val="Montserrat"/>
    </font>
    <font>
      <sz val="10"/>
      <name val="Montserrat"/>
    </font>
    <font>
      <sz val="9"/>
      <color theme="1"/>
      <name val="Montserrat"/>
    </font>
    <font>
      <b/>
      <sz val="8"/>
      <name val="Montserrat"/>
    </font>
    <font>
      <b/>
      <sz val="12"/>
      <color theme="1"/>
      <name val="Montserrat"/>
    </font>
    <font>
      <b/>
      <sz val="9"/>
      <color theme="1"/>
      <name val="Montserrat"/>
    </font>
    <font>
      <sz val="8"/>
      <color indexed="8"/>
      <name val="Montserrat"/>
    </font>
    <font>
      <sz val="8"/>
      <color theme="1"/>
      <name val="Montserrat"/>
    </font>
    <font>
      <u/>
      <sz val="9"/>
      <color theme="10"/>
      <name val="Montserrat"/>
    </font>
    <font>
      <b/>
      <sz val="16"/>
      <name val="Montserrat"/>
    </font>
    <font>
      <sz val="12"/>
      <name val="Montserrat"/>
    </font>
    <font>
      <b/>
      <sz val="14"/>
      <name val="Montserrat"/>
    </font>
    <font>
      <sz val="11"/>
      <color theme="0"/>
      <name val="Montserrat"/>
    </font>
    <font>
      <b/>
      <sz val="12"/>
      <name val="Montserrat"/>
    </font>
    <font>
      <sz val="11"/>
      <name val="Montserrat"/>
    </font>
    <font>
      <b/>
      <sz val="16"/>
      <color theme="1"/>
      <name val="Montserrat"/>
    </font>
    <font>
      <b/>
      <sz val="11"/>
      <color theme="1"/>
      <name val="Montserrat"/>
    </font>
    <font>
      <b/>
      <sz val="20"/>
      <color theme="1"/>
      <name val="Montserrat"/>
    </font>
    <font>
      <vertAlign val="superscript"/>
      <sz val="8"/>
      <color theme="1"/>
      <name val="Montserrat"/>
    </font>
    <font>
      <b/>
      <sz val="22"/>
      <color theme="1"/>
      <name val="Montserrat"/>
    </font>
    <font>
      <sz val="12"/>
      <color theme="1"/>
      <name val="Montserrat"/>
    </font>
    <font>
      <vertAlign val="superscript"/>
      <sz val="9"/>
      <color theme="1"/>
      <name val="Montserrat"/>
    </font>
    <font>
      <sz val="9"/>
      <name val="Montserrat"/>
    </font>
    <font>
      <b/>
      <sz val="10"/>
      <color theme="0"/>
      <name val="Montserrat"/>
    </font>
    <font>
      <sz val="10"/>
      <color theme="0"/>
      <name val="Montserrat"/>
    </font>
    <font>
      <b/>
      <vertAlign val="superscript"/>
      <sz val="10"/>
      <color theme="0"/>
      <name val="Montserrat"/>
    </font>
    <font>
      <b/>
      <sz val="11"/>
      <color theme="0"/>
      <name val="Montserrat"/>
    </font>
    <font>
      <b/>
      <sz val="20"/>
      <color theme="0"/>
      <name val="Montserrat"/>
    </font>
    <font>
      <b/>
      <sz val="9"/>
      <name val="Montserrat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0"/>
      <name val="Montserrat"/>
    </font>
    <font>
      <sz val="8"/>
      <name val="Arial"/>
      <family val="2"/>
    </font>
    <font>
      <sz val="8"/>
      <name val="Montserrat"/>
    </font>
    <font>
      <u/>
      <sz val="11"/>
      <color theme="10"/>
      <name val="Montserrat"/>
    </font>
    <font>
      <sz val="11"/>
      <color rgb="FF000000"/>
      <name val="Montserrat"/>
    </font>
    <font>
      <sz val="12"/>
      <color rgb="FF000000"/>
      <name val="Montserrat"/>
    </font>
    <font>
      <u/>
      <sz val="12"/>
      <color theme="10"/>
      <name val="Montserrat"/>
    </font>
    <font>
      <sz val="12"/>
      <color rgb="FF13322B"/>
      <name val="Montserrat"/>
    </font>
    <font>
      <sz val="11"/>
      <color rgb="FF13322B"/>
      <name val="Montserrat"/>
    </font>
    <font>
      <b/>
      <sz val="16"/>
      <color theme="0"/>
      <name val="Montserrat"/>
    </font>
    <font>
      <b/>
      <sz val="9"/>
      <color rgb="FF13322B"/>
      <name val="Montserrat"/>
    </font>
    <font>
      <sz val="10"/>
      <color theme="1"/>
      <name val="Calibri"/>
      <family val="2"/>
      <scheme val="minor"/>
    </font>
    <font>
      <sz val="9"/>
      <color theme="0"/>
      <name val="Montserrat"/>
    </font>
    <font>
      <vertAlign val="superscript"/>
      <sz val="8"/>
      <name val="Montserrat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13322B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2">
      <alignment horizontal="center" vertical="center"/>
    </xf>
    <xf numFmtId="1" fontId="7" fillId="2" borderId="3">
      <alignment horizontal="right" vertical="center"/>
    </xf>
    <xf numFmtId="0" fontId="7" fillId="3" borderId="3">
      <alignment horizontal="center" vertical="center"/>
    </xf>
    <xf numFmtId="1" fontId="7" fillId="2" borderId="3">
      <alignment horizontal="right" vertical="center"/>
    </xf>
    <xf numFmtId="0" fontId="2" fillId="2" borderId="0"/>
    <xf numFmtId="0" fontId="8" fillId="2" borderId="3">
      <alignment horizontal="left" vertical="center"/>
    </xf>
    <xf numFmtId="164" fontId="2" fillId="0" borderId="0" applyFont="0" applyFill="0" applyBorder="0" applyAlignment="0" applyProtection="0"/>
    <xf numFmtId="166" fontId="3" fillId="0" borderId="0" applyBorder="0"/>
    <xf numFmtId="166" fontId="3" fillId="0" borderId="4"/>
    <xf numFmtId="0" fontId="6" fillId="0" borderId="0"/>
    <xf numFmtId="0" fontId="6" fillId="0" borderId="0">
      <alignment horizontal="left" indent="1"/>
    </xf>
    <xf numFmtId="0" fontId="2" fillId="0" borderId="0">
      <alignment horizontal="left" indent="2"/>
    </xf>
    <xf numFmtId="0" fontId="2" fillId="0" borderId="0">
      <alignment horizontal="left" indent="3"/>
    </xf>
    <xf numFmtId="0" fontId="2" fillId="0" borderId="0">
      <alignment horizontal="left" indent="4"/>
    </xf>
    <xf numFmtId="0" fontId="9" fillId="0" borderId="0" applyNumberFormat="0" applyFill="0" applyBorder="0" applyAlignment="0" applyProtection="0"/>
    <xf numFmtId="0" fontId="10" fillId="0" borderId="0"/>
    <xf numFmtId="0" fontId="11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2" fillId="0" borderId="0"/>
    <xf numFmtId="0" fontId="13" fillId="0" borderId="0"/>
    <xf numFmtId="0" fontId="14" fillId="0" borderId="0"/>
    <xf numFmtId="0" fontId="13" fillId="0" borderId="0"/>
    <xf numFmtId="0" fontId="15" fillId="0" borderId="0">
      <alignment horizontal="left"/>
    </xf>
    <xf numFmtId="9" fontId="2" fillId="0" borderId="0" applyFont="0" applyFill="0" applyBorder="0" applyAlignment="0" applyProtection="0"/>
    <xf numFmtId="0" fontId="3" fillId="0" borderId="1">
      <alignment horizontal="center" vertical="center"/>
    </xf>
    <xf numFmtId="168" fontId="2" fillId="0" borderId="0" applyFill="0" applyBorder="0" applyAlignment="0" applyProtection="0">
      <alignment wrapText="1"/>
    </xf>
    <xf numFmtId="0" fontId="6" fillId="0" borderId="0" applyNumberFormat="0" applyFill="0" applyBorder="0">
      <alignment horizontal="center" wrapText="1"/>
    </xf>
    <xf numFmtId="0" fontId="6" fillId="0" borderId="0" applyNumberFormat="0" applyFill="0" applyBorder="0">
      <alignment horizontal="center" wrapText="1"/>
    </xf>
    <xf numFmtId="0" fontId="16" fillId="0" borderId="0"/>
    <xf numFmtId="0" fontId="17" fillId="0" borderId="0"/>
    <xf numFmtId="0" fontId="18" fillId="0" borderId="5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2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6" borderId="0" applyNumberFormat="0" applyBorder="0" applyAlignment="0" applyProtection="0"/>
    <xf numFmtId="0" fontId="26" fillId="23" borderId="6" applyNumberFormat="0" applyAlignment="0" applyProtection="0"/>
    <xf numFmtId="0" fontId="27" fillId="24" borderId="7" applyNumberFormat="0" applyAlignment="0" applyProtection="0"/>
    <xf numFmtId="164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10" borderId="6" applyNumberFormat="0" applyAlignment="0" applyProtection="0"/>
    <xf numFmtId="0" fontId="34" fillId="0" borderId="11" applyNumberFormat="0" applyFill="0" applyAlignment="0" applyProtection="0"/>
    <xf numFmtId="0" fontId="20" fillId="25" borderId="12" applyNumberFormat="0" applyFont="0" applyAlignment="0" applyProtection="0"/>
    <xf numFmtId="0" fontId="35" fillId="23" borderId="1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0" fillId="0" borderId="0"/>
    <xf numFmtId="0" fontId="20" fillId="0" borderId="0"/>
    <xf numFmtId="0" fontId="38" fillId="0" borderId="0"/>
    <xf numFmtId="0" fontId="5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5" fillId="25" borderId="12" applyNumberFormat="0" applyFont="0" applyAlignment="0" applyProtection="0"/>
    <xf numFmtId="0" fontId="5" fillId="0" borderId="0"/>
    <xf numFmtId="0" fontId="5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6" borderId="0" applyNumberFormat="0" applyBorder="0" applyAlignment="0" applyProtection="0"/>
    <xf numFmtId="0" fontId="26" fillId="23" borderId="6" applyNumberFormat="0" applyAlignment="0" applyProtection="0"/>
    <xf numFmtId="0" fontId="27" fillId="24" borderId="7" applyNumberFormat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10" borderId="6" applyNumberFormat="0" applyAlignment="0" applyProtection="0"/>
    <xf numFmtId="0" fontId="34" fillId="0" borderId="11" applyNumberFormat="0" applyFill="0" applyAlignment="0" applyProtection="0"/>
    <xf numFmtId="0" fontId="5" fillId="25" borderId="12" applyNumberFormat="0" applyFont="0" applyAlignment="0" applyProtection="0"/>
    <xf numFmtId="0" fontId="35" fillId="23" borderId="1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1" fillId="0" borderId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/>
    <xf numFmtId="0" fontId="5" fillId="0" borderId="0"/>
    <xf numFmtId="0" fontId="85" fillId="0" borderId="0"/>
    <xf numFmtId="0" fontId="1" fillId="0" borderId="0"/>
    <xf numFmtId="9" fontId="1" fillId="0" borderId="0" applyFont="0" applyFill="0" applyBorder="0" applyAlignment="0" applyProtection="0"/>
  </cellStyleXfs>
  <cellXfs count="381">
    <xf numFmtId="0" fontId="0" fillId="0" borderId="0" xfId="0"/>
    <xf numFmtId="0" fontId="39" fillId="0" borderId="0" xfId="0" applyFont="1"/>
    <xf numFmtId="0" fontId="40" fillId="0" borderId="0" xfId="0" applyFont="1" applyAlignment="1">
      <alignment vertical="center" wrapText="1"/>
    </xf>
    <xf numFmtId="0" fontId="39" fillId="0" borderId="0" xfId="0" applyFont="1" applyBorder="1"/>
    <xf numFmtId="0" fontId="39" fillId="0" borderId="0" xfId="0" applyFont="1" applyFill="1" applyBorder="1"/>
    <xf numFmtId="166" fontId="42" fillId="0" borderId="0" xfId="0" applyNumberFormat="1" applyFont="1" applyFill="1" applyBorder="1" applyAlignment="1">
      <alignment horizontal="center" vertical="center"/>
    </xf>
    <xf numFmtId="0" fontId="43" fillId="0" borderId="0" xfId="1" applyFont="1" applyFill="1" applyBorder="1" applyAlignment="1">
      <alignment horizontal="center" vertical="center" wrapText="1"/>
    </xf>
    <xf numFmtId="0" fontId="43" fillId="0" borderId="0" xfId="1" applyFont="1" applyFill="1" applyBorder="1" applyAlignment="1">
      <alignment horizontal="center"/>
    </xf>
    <xf numFmtId="0" fontId="43" fillId="0" borderId="0" xfId="1" applyFont="1" applyFill="1" applyBorder="1" applyAlignment="1">
      <alignment horizontal="center" vertical="center"/>
    </xf>
    <xf numFmtId="0" fontId="42" fillId="0" borderId="0" xfId="0" applyFont="1" applyFill="1" applyBorder="1"/>
    <xf numFmtId="0" fontId="45" fillId="0" borderId="0" xfId="0" applyFont="1" applyAlignment="1"/>
    <xf numFmtId="165" fontId="46" fillId="0" borderId="0" xfId="88" applyNumberFormat="1" applyFont="1" applyFill="1" applyBorder="1" applyAlignment="1">
      <alignment horizontal="right"/>
    </xf>
    <xf numFmtId="0" fontId="46" fillId="0" borderId="0" xfId="88" quotePrefix="1" applyFont="1" applyFill="1" applyBorder="1" applyAlignment="1">
      <alignment horizontal="center"/>
    </xf>
    <xf numFmtId="171" fontId="39" fillId="0" borderId="0" xfId="0" applyNumberFormat="1" applyFont="1" applyFill="1" applyBorder="1"/>
    <xf numFmtId="170" fontId="39" fillId="0" borderId="0" xfId="0" applyNumberFormat="1" applyFont="1" applyFill="1" applyBorder="1"/>
    <xf numFmtId="0" fontId="45" fillId="0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 vertical="center"/>
    </xf>
    <xf numFmtId="166" fontId="45" fillId="0" borderId="0" xfId="0" applyNumberFormat="1" applyFont="1" applyFill="1" applyBorder="1" applyAlignment="1">
      <alignment horizontal="center" vertical="center"/>
    </xf>
    <xf numFmtId="0" fontId="50" fillId="0" borderId="0" xfId="0" applyFont="1"/>
    <xf numFmtId="0" fontId="40" fillId="0" borderId="0" xfId="0" applyFont="1" applyBorder="1" applyAlignment="1">
      <alignment vertical="center" wrapText="1"/>
    </xf>
    <xf numFmtId="0" fontId="45" fillId="0" borderId="0" xfId="0" applyFont="1"/>
    <xf numFmtId="0" fontId="48" fillId="0" borderId="0" xfId="0" applyFont="1" applyAlignment="1">
      <alignment horizontal="center"/>
    </xf>
    <xf numFmtId="0" fontId="52" fillId="26" borderId="0" xfId="81" applyFont="1" applyFill="1" applyBorder="1" applyAlignment="1">
      <alignment vertical="center" wrapText="1"/>
    </xf>
    <xf numFmtId="0" fontId="53" fillId="26" borderId="0" xfId="81" applyFont="1" applyFill="1" applyBorder="1"/>
    <xf numFmtId="169" fontId="44" fillId="26" borderId="0" xfId="1" applyNumberFormat="1" applyFont="1" applyFill="1" applyAlignment="1"/>
    <xf numFmtId="0" fontId="50" fillId="0" borderId="0" xfId="0" applyFont="1" applyBorder="1"/>
    <xf numFmtId="0" fontId="57" fillId="26" borderId="0" xfId="81" applyFont="1" applyFill="1" applyBorder="1"/>
    <xf numFmtId="0" fontId="58" fillId="0" borderId="0" xfId="0" applyFont="1" applyBorder="1" applyAlignment="1">
      <alignment vertical="center" wrapText="1"/>
    </xf>
    <xf numFmtId="0" fontId="60" fillId="0" borderId="0" xfId="0" applyFont="1" applyBorder="1" applyAlignment="1">
      <alignment horizontal="center" vertical="center" wrapText="1"/>
    </xf>
    <xf numFmtId="0" fontId="45" fillId="0" borderId="0" xfId="0" applyFont="1" applyBorder="1"/>
    <xf numFmtId="0" fontId="62" fillId="0" borderId="0" xfId="0" applyFont="1" applyBorder="1" applyAlignment="1">
      <alignment vertical="center"/>
    </xf>
    <xf numFmtId="0" fontId="63" fillId="0" borderId="0" xfId="0" applyFont="1"/>
    <xf numFmtId="0" fontId="63" fillId="0" borderId="0" xfId="0" applyFont="1" applyFill="1"/>
    <xf numFmtId="169" fontId="44" fillId="0" borderId="0" xfId="1" applyNumberFormat="1" applyFont="1" applyFill="1" applyAlignment="1">
      <alignment horizontal="left" indent="3"/>
    </xf>
    <xf numFmtId="165" fontId="44" fillId="0" borderId="0" xfId="3" applyNumberFormat="1" applyFont="1" applyFill="1" applyBorder="1" applyAlignment="1">
      <alignment horizontal="center" vertical="center"/>
    </xf>
    <xf numFmtId="171" fontId="39" fillId="0" borderId="0" xfId="0" applyNumberFormat="1" applyFont="1"/>
    <xf numFmtId="0" fontId="45" fillId="0" borderId="0" xfId="0" applyFont="1" applyFill="1"/>
    <xf numFmtId="0" fontId="45" fillId="0" borderId="0" xfId="0" applyFont="1" applyAlignment="1">
      <alignment vertical="center"/>
    </xf>
    <xf numFmtId="165" fontId="45" fillId="0" borderId="0" xfId="88" applyNumberFormat="1" applyFont="1" applyFill="1" applyBorder="1" applyAlignment="1">
      <alignment horizontal="center" vertical="center"/>
    </xf>
    <xf numFmtId="169" fontId="45" fillId="26" borderId="0" xfId="1" applyNumberFormat="1" applyFont="1" applyFill="1" applyAlignment="1"/>
    <xf numFmtId="165" fontId="45" fillId="0" borderId="0" xfId="3" applyNumberFormat="1" applyFont="1" applyFill="1" applyBorder="1" applyAlignment="1">
      <alignment horizontal="right" vertical="center"/>
    </xf>
    <xf numFmtId="0" fontId="45" fillId="0" borderId="0" xfId="1" applyFont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166" fontId="45" fillId="0" borderId="0" xfId="0" applyNumberFormat="1" applyFont="1" applyAlignment="1">
      <alignment horizontal="center" vertical="center" wrapText="1"/>
    </xf>
    <xf numFmtId="166" fontId="45" fillId="0" borderId="0" xfId="1" applyNumberFormat="1" applyFont="1" applyAlignment="1">
      <alignment horizontal="center" vertical="center"/>
    </xf>
    <xf numFmtId="3" fontId="45" fillId="0" borderId="0" xfId="39" applyNumberFormat="1" applyFont="1" applyFill="1" applyBorder="1" applyAlignment="1">
      <alignment horizontal="left" indent="1"/>
    </xf>
    <xf numFmtId="3" fontId="45" fillId="0" borderId="0" xfId="39" applyNumberFormat="1" applyFont="1" applyFill="1" applyBorder="1" applyAlignment="1">
      <alignment horizontal="right" vertical="center"/>
    </xf>
    <xf numFmtId="2" fontId="45" fillId="0" borderId="0" xfId="0" applyNumberFormat="1" applyFont="1" applyFill="1" applyBorder="1" applyAlignment="1">
      <alignment horizontal="center" vertical="center"/>
    </xf>
    <xf numFmtId="166" fontId="45" fillId="0" borderId="0" xfId="0" applyNumberFormat="1" applyFont="1" applyBorder="1" applyAlignment="1">
      <alignment horizontal="center" vertical="center"/>
    </xf>
    <xf numFmtId="0" fontId="45" fillId="0" borderId="0" xfId="1" applyFont="1" applyFill="1" applyBorder="1" applyAlignment="1"/>
    <xf numFmtId="0" fontId="45" fillId="0" borderId="0" xfId="1" applyFont="1" applyFill="1" applyBorder="1" applyAlignment="1">
      <alignment horizontal="right" vertical="center"/>
    </xf>
    <xf numFmtId="49" fontId="45" fillId="0" borderId="0" xfId="1" applyNumberFormat="1" applyFont="1" applyFill="1" applyBorder="1" applyAlignment="1"/>
    <xf numFmtId="49" fontId="45" fillId="0" borderId="0" xfId="1" applyNumberFormat="1" applyFont="1" applyFill="1" applyBorder="1" applyAlignment="1">
      <alignment horizontal="right" vertical="center"/>
    </xf>
    <xf numFmtId="0" fontId="45" fillId="0" borderId="0" xfId="1" applyFont="1" applyFill="1" applyBorder="1" applyAlignment="1">
      <alignment horizontal="left" indent="1"/>
    </xf>
    <xf numFmtId="169" fontId="45" fillId="0" borderId="0" xfId="1" applyNumberFormat="1" applyFont="1" applyFill="1" applyAlignment="1">
      <alignment vertical="center"/>
    </xf>
    <xf numFmtId="171" fontId="45" fillId="0" borderId="0" xfId="3" applyNumberFormat="1" applyFont="1" applyFill="1" applyBorder="1" applyAlignment="1">
      <alignment horizontal="center" vertical="center"/>
    </xf>
    <xf numFmtId="166" fontId="45" fillId="0" borderId="0" xfId="3" applyNumberFormat="1" applyFont="1" applyFill="1" applyBorder="1" applyAlignment="1">
      <alignment horizontal="center" vertical="center"/>
    </xf>
    <xf numFmtId="165" fontId="45" fillId="0" borderId="0" xfId="3" applyNumberFormat="1" applyFont="1" applyFill="1" applyBorder="1" applyAlignment="1">
      <alignment horizontal="center" vertical="center"/>
    </xf>
    <xf numFmtId="166" fontId="48" fillId="0" borderId="0" xfId="3" applyNumberFormat="1" applyFont="1" applyFill="1" applyBorder="1" applyAlignment="1">
      <alignment horizontal="center" vertical="center"/>
    </xf>
    <xf numFmtId="166" fontId="45" fillId="0" borderId="0" xfId="0" applyNumberFormat="1" applyFont="1" applyAlignment="1">
      <alignment horizontal="center" vertical="center"/>
    </xf>
    <xf numFmtId="0" fontId="39" fillId="0" borderId="0" xfId="0" applyFont="1" applyFill="1"/>
    <xf numFmtId="0" fontId="45" fillId="0" borderId="0" xfId="0" applyFont="1" applyAlignment="1">
      <alignment wrapText="1"/>
    </xf>
    <xf numFmtId="0" fontId="47" fillId="0" borderId="0" xfId="0" applyFont="1" applyBorder="1" applyAlignment="1">
      <alignment horizontal="center" vertical="center" wrapText="1"/>
    </xf>
    <xf numFmtId="0" fontId="54" fillId="26" borderId="0" xfId="8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 wrapText="1"/>
    </xf>
    <xf numFmtId="0" fontId="56" fillId="26" borderId="0" xfId="81" applyFont="1" applyFill="1" applyBorder="1" applyAlignment="1">
      <alignment vertical="center" wrapText="1"/>
    </xf>
    <xf numFmtId="0" fontId="45" fillId="0" borderId="0" xfId="0" applyFont="1" applyFill="1" applyBorder="1" applyAlignment="1"/>
    <xf numFmtId="0" fontId="45" fillId="0" borderId="1" xfId="0" applyFont="1" applyFill="1" applyBorder="1"/>
    <xf numFmtId="166" fontId="45" fillId="0" borderId="1" xfId="0" applyNumberFormat="1" applyFont="1" applyFill="1" applyBorder="1" applyAlignment="1">
      <alignment horizontal="center" vertical="center"/>
    </xf>
    <xf numFmtId="0" fontId="45" fillId="0" borderId="1" xfId="0" applyFont="1" applyBorder="1"/>
    <xf numFmtId="0" fontId="50" fillId="0" borderId="0" xfId="0" applyFont="1" applyFill="1" applyBorder="1"/>
    <xf numFmtId="0" fontId="40" fillId="0" borderId="0" xfId="0" applyFont="1" applyFill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/>
    <xf numFmtId="0" fontId="66" fillId="0" borderId="0" xfId="0" applyFont="1" applyFill="1" applyBorder="1" applyAlignment="1">
      <alignment horizontal="center" vertical="center"/>
    </xf>
    <xf numFmtId="165" fontId="39" fillId="0" borderId="0" xfId="0" applyNumberFormat="1" applyFont="1" applyFill="1" applyBorder="1"/>
    <xf numFmtId="2" fontId="39" fillId="0" borderId="0" xfId="0" applyNumberFormat="1" applyFont="1"/>
    <xf numFmtId="0" fontId="59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5" fillId="0" borderId="1" xfId="1" applyFont="1" applyBorder="1" applyAlignment="1">
      <alignment horizontal="center" vertical="center"/>
    </xf>
    <xf numFmtId="166" fontId="45" fillId="0" borderId="1" xfId="1" applyNumberFormat="1" applyFont="1" applyBorder="1" applyAlignment="1">
      <alignment horizontal="center" vertic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65" fillId="0" borderId="0" xfId="1" applyFont="1"/>
    <xf numFmtId="0" fontId="52" fillId="26" borderId="0" xfId="81" applyFont="1" applyFill="1" applyBorder="1" applyAlignment="1">
      <alignment horizontal="center" vertical="center" wrapText="1"/>
    </xf>
    <xf numFmtId="0" fontId="56" fillId="26" borderId="0" xfId="8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5" fillId="0" borderId="1" xfId="0" applyFont="1" applyFill="1" applyBorder="1" applyAlignment="1"/>
    <xf numFmtId="165" fontId="45" fillId="0" borderId="1" xfId="3" applyNumberFormat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left" indent="1"/>
    </xf>
    <xf numFmtId="0" fontId="45" fillId="0" borderId="1" xfId="1" applyFont="1" applyFill="1" applyBorder="1" applyAlignment="1">
      <alignment horizontal="right" vertical="center"/>
    </xf>
    <xf numFmtId="0" fontId="45" fillId="0" borderId="1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/>
    </xf>
    <xf numFmtId="171" fontId="45" fillId="0" borderId="1" xfId="3" applyNumberFormat="1" applyFont="1" applyFill="1" applyBorder="1" applyAlignment="1">
      <alignment horizontal="center" vertical="center"/>
    </xf>
    <xf numFmtId="166" fontId="45" fillId="0" borderId="1" xfId="3" applyNumberFormat="1" applyFont="1" applyFill="1" applyBorder="1" applyAlignment="1">
      <alignment horizontal="center" vertical="center"/>
    </xf>
    <xf numFmtId="0" fontId="48" fillId="0" borderId="0" xfId="0" applyFont="1" applyFill="1"/>
    <xf numFmtId="171" fontId="48" fillId="0" borderId="0" xfId="3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0" fontId="45" fillId="0" borderId="1" xfId="0" applyFont="1" applyBorder="1" applyAlignment="1"/>
    <xf numFmtId="0" fontId="39" fillId="0" borderId="0" xfId="0" applyFont="1" applyAlignment="1"/>
    <xf numFmtId="171" fontId="50" fillId="0" borderId="0" xfId="0" applyNumberFormat="1" applyFont="1"/>
    <xf numFmtId="0" fontId="65" fillId="0" borderId="0" xfId="0" applyFont="1" applyAlignment="1">
      <alignment vertical="center"/>
    </xf>
    <xf numFmtId="0" fontId="48" fillId="0" borderId="0" xfId="0" applyFont="1" applyBorder="1" applyAlignment="1">
      <alignment horizontal="center"/>
    </xf>
    <xf numFmtId="0" fontId="39" fillId="0" borderId="0" xfId="0" applyFont="1" applyBorder="1" applyAlignment="1"/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 wrapText="1"/>
    </xf>
    <xf numFmtId="169" fontId="45" fillId="0" borderId="0" xfId="1" applyNumberFormat="1" applyFont="1" applyFill="1" applyBorder="1" applyAlignment="1">
      <alignment vertical="center" wrapText="1"/>
    </xf>
    <xf numFmtId="169" fontId="45" fillId="0" borderId="0" xfId="1" applyNumberFormat="1" applyFont="1" applyFill="1" applyAlignment="1">
      <alignment horizontal="left" vertical="center"/>
    </xf>
    <xf numFmtId="0" fontId="48" fillId="0" borderId="0" xfId="0" applyFont="1" applyFill="1" applyBorder="1" applyAlignment="1">
      <alignment horizontal="center" vertical="center"/>
    </xf>
    <xf numFmtId="0" fontId="45" fillId="0" borderId="0" xfId="0" applyFont="1" applyFill="1" applyBorder="1"/>
    <xf numFmtId="0" fontId="71" fillId="0" borderId="0" xfId="38" applyFont="1" applyFill="1" applyBorder="1" applyAlignment="1">
      <alignment horizontal="center"/>
    </xf>
    <xf numFmtId="165" fontId="71" fillId="0" borderId="0" xfId="38" applyNumberFormat="1" applyFont="1" applyFill="1" applyBorder="1" applyAlignment="1">
      <alignment horizontal="right"/>
    </xf>
    <xf numFmtId="169" fontId="50" fillId="26" borderId="0" xfId="1" applyNumberFormat="1" applyFont="1" applyFill="1" applyAlignment="1"/>
    <xf numFmtId="165" fontId="50" fillId="0" borderId="0" xfId="3" applyNumberFormat="1" applyFont="1" applyFill="1" applyBorder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72" fillId="0" borderId="0" xfId="0" applyFont="1" applyAlignment="1">
      <alignment horizontal="center"/>
    </xf>
    <xf numFmtId="166" fontId="50" fillId="0" borderId="0" xfId="0" applyNumberFormat="1" applyFont="1" applyAlignment="1">
      <alignment horizontal="center" vertical="center" wrapText="1"/>
    </xf>
    <xf numFmtId="166" fontId="50" fillId="0" borderId="0" xfId="1" applyNumberFormat="1" applyFont="1" applyAlignment="1">
      <alignment horizontal="center" vertical="center"/>
    </xf>
    <xf numFmtId="170" fontId="50" fillId="0" borderId="0" xfId="0" applyNumberFormat="1" applyFont="1" applyFill="1" applyBorder="1"/>
    <xf numFmtId="0" fontId="47" fillId="0" borderId="0" xfId="0" applyFont="1" applyBorder="1" applyAlignment="1">
      <alignment horizontal="right" vertical="center" wrapText="1"/>
    </xf>
    <xf numFmtId="0" fontId="48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45" fillId="0" borderId="0" xfId="0" applyFont="1" applyBorder="1" applyAlignment="1">
      <alignment horizontal="right"/>
    </xf>
    <xf numFmtId="171" fontId="45" fillId="0" borderId="1" xfId="0" quotePrefix="1" applyNumberFormat="1" applyFont="1" applyBorder="1" applyAlignment="1">
      <alignment horizontal="right"/>
    </xf>
    <xf numFmtId="0" fontId="39" fillId="0" borderId="0" xfId="0" applyFont="1" applyAlignment="1">
      <alignment horizontal="right"/>
    </xf>
    <xf numFmtId="0" fontId="50" fillId="0" borderId="0" xfId="0" applyFont="1" applyAlignment="1">
      <alignment horizontal="right"/>
    </xf>
    <xf numFmtId="0" fontId="65" fillId="26" borderId="0" xfId="136" applyFont="1" applyFill="1" applyAlignment="1">
      <alignment vertical="center"/>
    </xf>
    <xf numFmtId="0" fontId="65" fillId="26" borderId="0" xfId="136" applyFont="1" applyFill="1" applyAlignment="1">
      <alignment horizontal="center" vertical="center"/>
    </xf>
    <xf numFmtId="0" fontId="71" fillId="26" borderId="0" xfId="136" applyFont="1" applyFill="1" applyAlignment="1">
      <alignment vertical="center"/>
    </xf>
    <xf numFmtId="171" fontId="65" fillId="26" borderId="0" xfId="136" applyNumberFormat="1" applyFont="1" applyFill="1" applyAlignment="1">
      <alignment horizontal="center" vertical="center"/>
    </xf>
    <xf numFmtId="166" fontId="65" fillId="26" borderId="0" xfId="137" applyNumberFormat="1" applyFont="1" applyFill="1" applyAlignment="1">
      <alignment horizontal="center" vertical="center"/>
    </xf>
    <xf numFmtId="166" fontId="65" fillId="26" borderId="0" xfId="138" applyNumberFormat="1" applyFont="1" applyFill="1" applyAlignment="1">
      <alignment horizontal="center" vertical="center"/>
    </xf>
    <xf numFmtId="171" fontId="65" fillId="26" borderId="0" xfId="136" applyNumberFormat="1" applyFont="1" applyFill="1" applyBorder="1" applyAlignment="1">
      <alignment horizontal="center" vertical="center"/>
    </xf>
    <xf numFmtId="0" fontId="65" fillId="0" borderId="0" xfId="136" applyFont="1" applyFill="1" applyAlignment="1">
      <alignment vertical="center"/>
    </xf>
    <xf numFmtId="0" fontId="74" fillId="0" borderId="0" xfId="136" applyFont="1" applyFill="1" applyAlignment="1">
      <alignment horizontal="left" vertical="center" wrapText="1" indent="1"/>
    </xf>
    <xf numFmtId="41" fontId="74" fillId="0" borderId="0" xfId="136" applyNumberFormat="1" applyFont="1" applyFill="1" applyAlignment="1">
      <alignment horizontal="center" vertical="center" wrapText="1"/>
    </xf>
    <xf numFmtId="173" fontId="74" fillId="0" borderId="0" xfId="138" applyNumberFormat="1" applyFont="1" applyFill="1" applyAlignment="1">
      <alignment horizontal="center" vertical="center" wrapText="1"/>
    </xf>
    <xf numFmtId="0" fontId="71" fillId="26" borderId="0" xfId="136" applyFont="1" applyFill="1" applyAlignment="1">
      <alignment horizontal="left" vertical="center" wrapText="1" indent="1"/>
    </xf>
    <xf numFmtId="3" fontId="71" fillId="26" borderId="0" xfId="136" applyNumberFormat="1" applyFont="1" applyFill="1" applyAlignment="1">
      <alignment horizontal="center" vertical="center" wrapText="1"/>
    </xf>
    <xf numFmtId="174" fontId="71" fillId="26" borderId="0" xfId="136" applyNumberFormat="1" applyFont="1" applyFill="1" applyAlignment="1">
      <alignment horizontal="center" vertical="center" wrapText="1"/>
    </xf>
    <xf numFmtId="41" fontId="65" fillId="26" borderId="0" xfId="136" applyNumberFormat="1" applyFont="1" applyFill="1" applyAlignment="1">
      <alignment horizontal="center" vertical="center"/>
    </xf>
    <xf numFmtId="171" fontId="74" fillId="0" borderId="0" xfId="136" applyNumberFormat="1" applyFont="1" applyFill="1" applyAlignment="1">
      <alignment horizontal="center" vertical="center" wrapText="1"/>
    </xf>
    <xf numFmtId="171" fontId="74" fillId="0" borderId="0" xfId="138" applyNumberFormat="1" applyFont="1" applyFill="1" applyAlignment="1">
      <alignment horizontal="center" vertical="center" wrapText="1"/>
    </xf>
    <xf numFmtId="0" fontId="65" fillId="0" borderId="0" xfId="136" applyFont="1"/>
    <xf numFmtId="0" fontId="74" fillId="0" borderId="0" xfId="81" applyFont="1" applyFill="1" applyBorder="1" applyAlignment="1">
      <alignment vertical="center" wrapText="1"/>
    </xf>
    <xf numFmtId="0" fontId="50" fillId="0" borderId="0" xfId="0" applyFont="1" applyAlignment="1">
      <alignment horizontal="left" wrapText="1"/>
    </xf>
    <xf numFmtId="0" fontId="59" fillId="0" borderId="0" xfId="0" applyFont="1" applyFill="1" applyAlignment="1">
      <alignment horizontal="center"/>
    </xf>
    <xf numFmtId="0" fontId="53" fillId="0" borderId="0" xfId="81" applyFont="1" applyFill="1" applyBorder="1"/>
    <xf numFmtId="165" fontId="48" fillId="0" borderId="0" xfId="1" applyNumberFormat="1" applyFont="1" applyFill="1" applyAlignment="1">
      <alignment horizontal="center"/>
    </xf>
    <xf numFmtId="0" fontId="56" fillId="0" borderId="0" xfId="81" applyFont="1" applyFill="1" applyBorder="1" applyAlignment="1">
      <alignment vertical="center" wrapText="1"/>
    </xf>
    <xf numFmtId="0" fontId="56" fillId="0" borderId="0" xfId="81" applyFont="1" applyFill="1" applyBorder="1" applyAlignment="1">
      <alignment horizontal="center" vertical="center" wrapText="1"/>
    </xf>
    <xf numFmtId="16" fontId="39" fillId="0" borderId="0" xfId="0" applyNumberFormat="1" applyFont="1" applyFill="1" applyBorder="1"/>
    <xf numFmtId="165" fontId="45" fillId="0" borderId="0" xfId="1" applyNumberFormat="1" applyFont="1" applyFill="1" applyAlignment="1">
      <alignment horizontal="center"/>
    </xf>
    <xf numFmtId="171" fontId="45" fillId="0" borderId="1" xfId="0" applyNumberFormat="1" applyFont="1" applyFill="1" applyBorder="1" applyAlignment="1">
      <alignment horizontal="center"/>
    </xf>
    <xf numFmtId="170" fontId="45" fillId="0" borderId="1" xfId="0" applyNumberFormat="1" applyFont="1" applyFill="1" applyBorder="1" applyAlignment="1">
      <alignment horizontal="center"/>
    </xf>
    <xf numFmtId="165" fontId="45" fillId="0" borderId="1" xfId="88" applyNumberFormat="1" applyFont="1" applyFill="1" applyBorder="1" applyAlignment="1">
      <alignment horizontal="center" vertical="center"/>
    </xf>
    <xf numFmtId="165" fontId="45" fillId="0" borderId="0" xfId="38" applyNumberFormat="1" applyFont="1" applyFill="1" applyBorder="1" applyAlignment="1">
      <alignment horizontal="center" vertical="center"/>
    </xf>
    <xf numFmtId="165" fontId="45" fillId="0" borderId="1" xfId="38" applyNumberFormat="1" applyFont="1" applyFill="1" applyBorder="1" applyAlignment="1">
      <alignment horizontal="center" vertical="center"/>
    </xf>
    <xf numFmtId="170" fontId="45" fillId="0" borderId="0" xfId="38" applyNumberFormat="1" applyFont="1" applyFill="1" applyBorder="1" applyAlignment="1">
      <alignment horizontal="center" vertical="center"/>
    </xf>
    <xf numFmtId="170" fontId="45" fillId="0" borderId="0" xfId="39" applyNumberFormat="1" applyFont="1" applyFill="1" applyBorder="1" applyAlignment="1">
      <alignment horizontal="center"/>
    </xf>
    <xf numFmtId="170" fontId="45" fillId="0" borderId="1" xfId="38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/>
    </xf>
    <xf numFmtId="170" fontId="45" fillId="0" borderId="0" xfId="1" applyNumberFormat="1" applyFont="1" applyAlignment="1">
      <alignment horizontal="center" vertical="center"/>
    </xf>
    <xf numFmtId="171" fontId="45" fillId="0" borderId="0" xfId="1" applyNumberFormat="1" applyFont="1" applyBorder="1" applyAlignment="1">
      <alignment horizontal="center" vertical="center"/>
    </xf>
    <xf numFmtId="171" fontId="45" fillId="0" borderId="0" xfId="1" applyNumberFormat="1" applyFont="1" applyAlignment="1">
      <alignment horizontal="center" vertical="center"/>
    </xf>
    <xf numFmtId="171" fontId="45" fillId="0" borderId="1" xfId="1" applyNumberFormat="1" applyFont="1" applyBorder="1" applyAlignment="1">
      <alignment horizontal="center" vertical="center"/>
    </xf>
    <xf numFmtId="171" fontId="45" fillId="0" borderId="0" xfId="0" applyNumberFormat="1" applyFont="1" applyBorder="1" applyAlignment="1">
      <alignment horizontal="center" vertical="center"/>
    </xf>
    <xf numFmtId="171" fontId="45" fillId="0" borderId="0" xfId="0" applyNumberFormat="1" applyFont="1" applyAlignment="1">
      <alignment horizontal="center" vertical="center"/>
    </xf>
    <xf numFmtId="171" fontId="65" fillId="0" borderId="0" xfId="0" applyNumberFormat="1" applyFont="1" applyAlignment="1">
      <alignment horizontal="center" vertical="center"/>
    </xf>
    <xf numFmtId="171" fontId="45" fillId="0" borderId="0" xfId="0" applyNumberFormat="1" applyFont="1" applyFill="1" applyAlignment="1">
      <alignment horizontal="center" vertical="center"/>
    </xf>
    <xf numFmtId="175" fontId="45" fillId="0" borderId="0" xfId="0" applyNumberFormat="1" applyFont="1" applyFill="1" applyBorder="1" applyAlignment="1">
      <alignment horizontal="center" vertical="center"/>
    </xf>
    <xf numFmtId="0" fontId="50" fillId="0" borderId="0" xfId="0" applyFont="1" applyAlignment="1"/>
    <xf numFmtId="0" fontId="77" fillId="0" borderId="0" xfId="2" applyFont="1" applyBorder="1" applyAlignment="1">
      <alignment vertical="center" wrapText="1"/>
    </xf>
    <xf numFmtId="0" fontId="77" fillId="0" borderId="0" xfId="2" applyFont="1" applyBorder="1" applyAlignment="1">
      <alignment horizontal="right" vertical="center" wrapText="1"/>
    </xf>
    <xf numFmtId="0" fontId="59" fillId="0" borderId="0" xfId="0" applyFont="1" applyAlignme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left" wrapText="1"/>
    </xf>
    <xf numFmtId="0" fontId="78" fillId="26" borderId="0" xfId="0" applyFont="1" applyFill="1" applyAlignment="1"/>
    <xf numFmtId="0" fontId="78" fillId="26" borderId="0" xfId="0" applyFont="1" applyFill="1" applyAlignment="1">
      <alignment horizontal="center"/>
    </xf>
    <xf numFmtId="0" fontId="79" fillId="26" borderId="0" xfId="0" applyFont="1" applyFill="1" applyAlignment="1"/>
    <xf numFmtId="0" fontId="78" fillId="26" borderId="0" xfId="0" applyFont="1" applyFill="1" applyAlignment="1">
      <alignment vertical="center"/>
    </xf>
    <xf numFmtId="0" fontId="81" fillId="26" borderId="0" xfId="0" applyFont="1" applyFill="1" applyAlignment="1">
      <alignment vertical="center"/>
    </xf>
    <xf numFmtId="0" fontId="67" fillId="27" borderId="0" xfId="0" applyFont="1" applyFill="1" applyBorder="1"/>
    <xf numFmtId="0" fontId="66" fillId="27" borderId="0" xfId="0" applyFont="1" applyFill="1" applyBorder="1" applyAlignment="1">
      <alignment horizontal="center" vertical="center"/>
    </xf>
    <xf numFmtId="0" fontId="66" fillId="27" borderId="0" xfId="0" applyFont="1" applyFill="1" applyBorder="1" applyAlignment="1">
      <alignment horizontal="center" vertical="center" wrapText="1"/>
    </xf>
    <xf numFmtId="0" fontId="48" fillId="28" borderId="0" xfId="88" applyNumberFormat="1" applyFont="1" applyFill="1" applyBorder="1" applyAlignment="1">
      <alignment horizontal="center" vertical="center"/>
    </xf>
    <xf numFmtId="0" fontId="48" fillId="28" borderId="1" xfId="88" applyNumberFormat="1" applyFont="1" applyFill="1" applyBorder="1" applyAlignment="1">
      <alignment horizontal="center" vertical="center"/>
    </xf>
    <xf numFmtId="165" fontId="45" fillId="28" borderId="0" xfId="88" applyNumberFormat="1" applyFont="1" applyFill="1" applyBorder="1" applyAlignment="1">
      <alignment horizontal="center" vertical="center"/>
    </xf>
    <xf numFmtId="165" fontId="45" fillId="28" borderId="0" xfId="1" applyNumberFormat="1" applyFont="1" applyFill="1" applyAlignment="1">
      <alignment horizontal="center"/>
    </xf>
    <xf numFmtId="171" fontId="45" fillId="28" borderId="1" xfId="0" applyNumberFormat="1" applyFont="1" applyFill="1" applyBorder="1" applyAlignment="1">
      <alignment horizontal="center"/>
    </xf>
    <xf numFmtId="0" fontId="45" fillId="28" borderId="0" xfId="0" applyFont="1" applyFill="1" applyBorder="1" applyAlignment="1">
      <alignment horizontal="center" vertical="center"/>
    </xf>
    <xf numFmtId="166" fontId="45" fillId="28" borderId="0" xfId="0" applyNumberFormat="1" applyFont="1" applyFill="1" applyBorder="1" applyAlignment="1">
      <alignment horizontal="center" vertical="center"/>
    </xf>
    <xf numFmtId="166" fontId="45" fillId="28" borderId="1" xfId="0" applyNumberFormat="1" applyFont="1" applyFill="1" applyBorder="1" applyAlignment="1">
      <alignment horizontal="center" vertical="center"/>
    </xf>
    <xf numFmtId="0" fontId="82" fillId="0" borderId="0" xfId="2" applyFont="1" applyBorder="1" applyAlignment="1">
      <alignment horizontal="center" vertical="center" wrapText="1"/>
    </xf>
    <xf numFmtId="0" fontId="55" fillId="27" borderId="0" xfId="0" applyFont="1" applyFill="1" applyBorder="1"/>
    <xf numFmtId="0" fontId="69" fillId="27" borderId="0" xfId="0" applyFont="1" applyFill="1" applyBorder="1" applyAlignment="1"/>
    <xf numFmtId="0" fontId="70" fillId="27" borderId="0" xfId="0" applyFont="1" applyFill="1" applyBorder="1" applyAlignment="1">
      <alignment horizontal="center" vertical="center" wrapText="1"/>
    </xf>
    <xf numFmtId="0" fontId="66" fillId="27" borderId="0" xfId="0" applyFont="1" applyFill="1" applyBorder="1"/>
    <xf numFmtId="0" fontId="84" fillId="28" borderId="0" xfId="0" applyFont="1" applyFill="1" applyBorder="1"/>
    <xf numFmtId="0" fontId="84" fillId="28" borderId="0" xfId="0" applyFont="1" applyFill="1" applyBorder="1" applyAlignment="1">
      <alignment horizontal="right" vertical="center"/>
    </xf>
    <xf numFmtId="165" fontId="84" fillId="28" borderId="0" xfId="1" applyNumberFormat="1" applyFont="1" applyFill="1" applyAlignment="1">
      <alignment horizontal="center"/>
    </xf>
    <xf numFmtId="0" fontId="84" fillId="28" borderId="0" xfId="0" applyFont="1" applyFill="1" applyBorder="1" applyAlignment="1">
      <alignment horizontal="center" vertical="center"/>
    </xf>
    <xf numFmtId="166" fontId="84" fillId="28" borderId="0" xfId="1" applyNumberFormat="1" applyFont="1" applyFill="1" applyAlignment="1">
      <alignment horizontal="center"/>
    </xf>
    <xf numFmtId="166" fontId="84" fillId="28" borderId="0" xfId="0" applyNumberFormat="1" applyFont="1" applyFill="1" applyBorder="1" applyAlignment="1">
      <alignment horizontal="center" vertical="center"/>
    </xf>
    <xf numFmtId="3" fontId="48" fillId="28" borderId="0" xfId="39" applyNumberFormat="1" applyFont="1" applyFill="1" applyBorder="1" applyAlignment="1"/>
    <xf numFmtId="3" fontId="48" fillId="28" borderId="0" xfId="39" applyNumberFormat="1" applyFont="1" applyFill="1" applyBorder="1" applyAlignment="1">
      <alignment horizontal="right" vertical="center"/>
    </xf>
    <xf numFmtId="167" fontId="48" fillId="28" borderId="0" xfId="39" applyNumberFormat="1" applyFont="1" applyFill="1" applyBorder="1" applyAlignment="1">
      <alignment horizontal="center" vertical="center"/>
    </xf>
    <xf numFmtId="170" fontId="48" fillId="28" borderId="0" xfId="0" applyNumberFormat="1" applyFont="1" applyFill="1" applyBorder="1" applyAlignment="1">
      <alignment horizontal="center" vertical="center"/>
    </xf>
    <xf numFmtId="166" fontId="48" fillId="28" borderId="0" xfId="0" applyNumberFormat="1" applyFont="1" applyFill="1" applyBorder="1" applyAlignment="1">
      <alignment horizontal="center" vertical="center"/>
    </xf>
    <xf numFmtId="0" fontId="45" fillId="28" borderId="0" xfId="0" applyFont="1" applyFill="1" applyBorder="1"/>
    <xf numFmtId="170" fontId="48" fillId="28" borderId="0" xfId="1" applyNumberFormat="1" applyFont="1" applyFill="1" applyBorder="1" applyAlignment="1">
      <alignment horizontal="center"/>
    </xf>
    <xf numFmtId="0" fontId="82" fillId="0" borderId="0" xfId="2" applyFont="1" applyAlignment="1">
      <alignment horizontal="center" vertical="center"/>
    </xf>
    <xf numFmtId="0" fontId="66" fillId="27" borderId="0" xfId="1" applyFont="1" applyFill="1" applyBorder="1" applyAlignment="1">
      <alignment horizontal="center" vertical="center" wrapText="1"/>
    </xf>
    <xf numFmtId="0" fontId="67" fillId="27" borderId="0" xfId="1" applyFont="1" applyFill="1" applyBorder="1" applyAlignment="1">
      <alignment horizontal="center"/>
    </xf>
    <xf numFmtId="165" fontId="48" fillId="28" borderId="0" xfId="1" applyNumberFormat="1" applyFont="1" applyFill="1" applyAlignment="1">
      <alignment horizontal="center"/>
    </xf>
    <xf numFmtId="0" fontId="48" fillId="28" borderId="0" xfId="1" applyFont="1" applyFill="1" applyAlignment="1">
      <alignment horizontal="center" vertical="center"/>
    </xf>
    <xf numFmtId="166" fontId="48" fillId="28" borderId="0" xfId="1" applyNumberFormat="1" applyFont="1" applyFill="1" applyAlignment="1">
      <alignment horizontal="center" vertical="center"/>
    </xf>
    <xf numFmtId="165" fontId="48" fillId="28" borderId="0" xfId="1" applyNumberFormat="1" applyFont="1" applyFill="1" applyAlignment="1">
      <alignment horizontal="left"/>
    </xf>
    <xf numFmtId="171" fontId="48" fillId="28" borderId="0" xfId="1" applyNumberFormat="1" applyFont="1" applyFill="1" applyAlignment="1">
      <alignment horizontal="center" vertical="center"/>
    </xf>
    <xf numFmtId="2" fontId="48" fillId="28" borderId="0" xfId="1" applyNumberFormat="1" applyFont="1" applyFill="1" applyBorder="1" applyAlignment="1">
      <alignment horizontal="center" vertical="center"/>
    </xf>
    <xf numFmtId="0" fontId="67" fillId="27" borderId="0" xfId="1" applyFont="1" applyFill="1" applyBorder="1" applyAlignment="1">
      <alignment horizontal="center" vertical="center"/>
    </xf>
    <xf numFmtId="171" fontId="48" fillId="28" borderId="0" xfId="3" applyNumberFormat="1" applyFont="1" applyFill="1" applyBorder="1" applyAlignment="1">
      <alignment horizontal="center" vertical="center" wrapText="1"/>
    </xf>
    <xf numFmtId="166" fontId="48" fillId="28" borderId="0" xfId="1" applyNumberFormat="1" applyFont="1" applyFill="1" applyAlignment="1">
      <alignment horizontal="center" vertical="center" wrapText="1"/>
    </xf>
    <xf numFmtId="167" fontId="48" fillId="28" borderId="0" xfId="3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wrapText="1"/>
    </xf>
    <xf numFmtId="171" fontId="74" fillId="27" borderId="0" xfId="81" applyNumberFormat="1" applyFont="1" applyFill="1" applyBorder="1" applyAlignment="1">
      <alignment horizontal="center" vertical="center" wrapText="1"/>
    </xf>
    <xf numFmtId="0" fontId="66" fillId="27" borderId="0" xfId="81" applyFont="1" applyFill="1" applyBorder="1" applyAlignment="1">
      <alignment horizontal="center" vertical="center" wrapText="1"/>
    </xf>
    <xf numFmtId="171" fontId="66" fillId="27" borderId="0" xfId="81" applyNumberFormat="1" applyFont="1" applyFill="1" applyBorder="1" applyAlignment="1">
      <alignment horizontal="center" vertical="center" wrapText="1"/>
    </xf>
    <xf numFmtId="0" fontId="66" fillId="27" borderId="0" xfId="1" applyFont="1" applyFill="1" applyBorder="1" applyAlignment="1">
      <alignment horizontal="right" vertical="center" wrapText="1"/>
    </xf>
    <xf numFmtId="171" fontId="71" fillId="28" borderId="14" xfId="81" applyNumberFormat="1" applyFont="1" applyFill="1" applyBorder="1" applyAlignment="1">
      <alignment horizontal="center" vertical="center" wrapText="1"/>
    </xf>
    <xf numFmtId="172" fontId="71" fillId="28" borderId="14" xfId="81" applyNumberFormat="1" applyFont="1" applyFill="1" applyBorder="1" applyAlignment="1">
      <alignment horizontal="center" vertical="center" wrapText="1"/>
    </xf>
    <xf numFmtId="0" fontId="71" fillId="28" borderId="14" xfId="1" quotePrefix="1" applyFont="1" applyFill="1" applyBorder="1" applyAlignment="1">
      <alignment horizontal="right" vertical="center" wrapText="1"/>
    </xf>
    <xf numFmtId="0" fontId="82" fillId="26" borderId="0" xfId="2" applyFont="1" applyFill="1" applyAlignment="1">
      <alignment horizontal="center" vertical="center"/>
    </xf>
    <xf numFmtId="0" fontId="66" fillId="27" borderId="0" xfId="0" applyFont="1" applyFill="1" applyBorder="1" applyAlignment="1">
      <alignment horizontal="left" vertical="center" wrapText="1"/>
    </xf>
    <xf numFmtId="0" fontId="66" fillId="27" borderId="0" xfId="0" applyFont="1" applyFill="1" applyBorder="1" applyAlignment="1">
      <alignment horizontal="center" wrapText="1"/>
    </xf>
    <xf numFmtId="171" fontId="43" fillId="28" borderId="0" xfId="0" applyNumberFormat="1" applyFont="1" applyFill="1" applyBorder="1" applyAlignment="1">
      <alignment horizontal="center" vertical="center" wrapText="1"/>
    </xf>
    <xf numFmtId="166" fontId="48" fillId="28" borderId="0" xfId="0" quotePrefix="1" applyNumberFormat="1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left"/>
    </xf>
    <xf numFmtId="170" fontId="45" fillId="0" borderId="0" xfId="1" applyNumberFormat="1" applyFont="1" applyBorder="1" applyAlignment="1">
      <alignment horizontal="center" vertical="center"/>
    </xf>
    <xf numFmtId="166" fontId="45" fillId="0" borderId="0" xfId="0" applyNumberFormat="1" applyFont="1" applyBorder="1" applyAlignment="1">
      <alignment horizontal="center" vertical="center" wrapText="1"/>
    </xf>
    <xf numFmtId="166" fontId="45" fillId="0" borderId="0" xfId="1" applyNumberFormat="1" applyFont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176" fontId="65" fillId="0" borderId="0" xfId="0" applyNumberFormat="1" applyFont="1" applyFill="1" applyBorder="1" applyAlignment="1">
      <alignment horizontal="center"/>
    </xf>
    <xf numFmtId="176" fontId="45" fillId="0" borderId="0" xfId="1" applyNumberFormat="1" applyFont="1" applyAlignment="1">
      <alignment horizontal="center" vertical="center"/>
    </xf>
    <xf numFmtId="176" fontId="45" fillId="0" borderId="0" xfId="0" applyNumberFormat="1" applyFont="1" applyAlignment="1">
      <alignment horizontal="center" vertical="center" wrapText="1"/>
    </xf>
    <xf numFmtId="176" fontId="45" fillId="0" borderId="0" xfId="1" applyNumberFormat="1" applyFont="1" applyBorder="1" applyAlignment="1">
      <alignment horizontal="center" vertical="center"/>
    </xf>
    <xf numFmtId="176" fontId="45" fillId="0" borderId="0" xfId="0" applyNumberFormat="1" applyFont="1" applyBorder="1" applyAlignment="1">
      <alignment horizontal="center" vertical="center" wrapText="1"/>
    </xf>
    <xf numFmtId="176" fontId="45" fillId="0" borderId="0" xfId="3" quotePrefix="1" applyNumberFormat="1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5" fillId="26" borderId="0" xfId="0" applyFont="1" applyFill="1" applyBorder="1" applyAlignment="1"/>
    <xf numFmtId="165" fontId="45" fillId="26" borderId="0" xfId="3" applyNumberFormat="1" applyFont="1" applyFill="1" applyBorder="1" applyAlignment="1">
      <alignment horizontal="center" vertical="center"/>
    </xf>
    <xf numFmtId="171" fontId="45" fillId="26" borderId="0" xfId="1" applyNumberFormat="1" applyFont="1" applyFill="1" applyBorder="1" applyAlignment="1">
      <alignment horizontal="center" vertical="center"/>
    </xf>
    <xf numFmtId="165" fontId="48" fillId="29" borderId="0" xfId="1" applyNumberFormat="1" applyFont="1" applyFill="1" applyAlignment="1">
      <alignment horizontal="left"/>
    </xf>
    <xf numFmtId="171" fontId="48" fillId="29" borderId="0" xfId="1" applyNumberFormat="1" applyFont="1" applyFill="1" applyAlignment="1">
      <alignment horizontal="center" vertical="center"/>
    </xf>
    <xf numFmtId="171" fontId="48" fillId="29" borderId="0" xfId="1" applyNumberFormat="1" applyFont="1" applyFill="1" applyAlignment="1">
      <alignment horizontal="center" vertical="center" wrapText="1"/>
    </xf>
    <xf numFmtId="171" fontId="45" fillId="29" borderId="0" xfId="1" applyNumberFormat="1" applyFont="1" applyFill="1" applyAlignment="1">
      <alignment horizontal="center" vertical="center"/>
    </xf>
    <xf numFmtId="166" fontId="48" fillId="29" borderId="0" xfId="1" applyNumberFormat="1" applyFont="1" applyFill="1" applyAlignment="1">
      <alignment horizontal="center" vertical="center" wrapText="1"/>
    </xf>
    <xf numFmtId="166" fontId="48" fillId="29" borderId="0" xfId="1" applyNumberFormat="1" applyFont="1" applyFill="1" applyAlignment="1">
      <alignment horizontal="center" vertical="center"/>
    </xf>
    <xf numFmtId="0" fontId="65" fillId="0" borderId="1" xfId="0" applyFont="1" applyFill="1" applyBorder="1" applyAlignment="1">
      <alignment horizontal="left" vertical="center" wrapText="1"/>
    </xf>
    <xf numFmtId="176" fontId="45" fillId="0" borderId="1" xfId="3" quotePrefix="1" applyNumberFormat="1" applyFont="1" applyFill="1" applyBorder="1" applyAlignment="1">
      <alignment horizontal="center" vertical="center"/>
    </xf>
    <xf numFmtId="0" fontId="48" fillId="26" borderId="0" xfId="0" applyFont="1" applyFill="1" applyBorder="1" applyAlignment="1">
      <alignment horizontal="center" vertical="center"/>
    </xf>
    <xf numFmtId="0" fontId="48" fillId="29" borderId="0" xfId="0" applyFont="1" applyFill="1" applyBorder="1" applyAlignment="1">
      <alignment horizontal="center" vertical="center"/>
    </xf>
    <xf numFmtId="177" fontId="45" fillId="0" borderId="0" xfId="1" applyNumberFormat="1" applyFont="1" applyAlignment="1">
      <alignment horizontal="center" vertical="center"/>
    </xf>
    <xf numFmtId="176" fontId="45" fillId="0" borderId="1" xfId="1" applyNumberFormat="1" applyFont="1" applyBorder="1" applyAlignment="1">
      <alignment horizontal="center" vertical="center"/>
    </xf>
    <xf numFmtId="176" fontId="45" fillId="0" borderId="1" xfId="0" applyNumberFormat="1" applyFont="1" applyBorder="1" applyAlignment="1">
      <alignment horizontal="center" vertical="center" wrapText="1"/>
    </xf>
    <xf numFmtId="170" fontId="65" fillId="0" borderId="0" xfId="0" applyNumberFormat="1" applyFont="1" applyFill="1" applyBorder="1" applyAlignment="1">
      <alignment horizontal="center" vertical="center"/>
    </xf>
    <xf numFmtId="1" fontId="48" fillId="28" borderId="0" xfId="1" applyNumberFormat="1" applyFont="1" applyFill="1" applyAlignment="1">
      <alignment horizontal="center" vertical="center"/>
    </xf>
    <xf numFmtId="166" fontId="48" fillId="28" borderId="0" xfId="81" applyNumberFormat="1" applyFont="1" applyFill="1" applyBorder="1" applyAlignment="1">
      <alignment horizontal="center" vertical="center"/>
    </xf>
    <xf numFmtId="171" fontId="45" fillId="29" borderId="0" xfId="0" applyNumberFormat="1" applyFont="1" applyFill="1" applyAlignment="1">
      <alignment horizontal="center" vertical="center"/>
    </xf>
    <xf numFmtId="177" fontId="45" fillId="0" borderId="0" xfId="0" applyNumberFormat="1" applyFont="1" applyAlignment="1">
      <alignment horizontal="center" vertical="center"/>
    </xf>
    <xf numFmtId="171" fontId="45" fillId="0" borderId="1" xfId="0" applyNumberFormat="1" applyFont="1" applyBorder="1" applyAlignment="1">
      <alignment horizontal="center" vertical="center"/>
    </xf>
    <xf numFmtId="171" fontId="45" fillId="26" borderId="0" xfId="1" applyNumberFormat="1" applyFont="1" applyFill="1" applyAlignment="1">
      <alignment horizontal="center" vertical="center"/>
    </xf>
    <xf numFmtId="171" fontId="45" fillId="26" borderId="1" xfId="1" applyNumberFormat="1" applyFont="1" applyFill="1" applyBorder="1" applyAlignment="1">
      <alignment horizontal="center" vertical="center"/>
    </xf>
    <xf numFmtId="170" fontId="65" fillId="26" borderId="0" xfId="0" applyNumberFormat="1" applyFont="1" applyFill="1" applyBorder="1" applyAlignment="1">
      <alignment horizontal="center" vertical="center"/>
    </xf>
    <xf numFmtId="0" fontId="48" fillId="28" borderId="0" xfId="0" applyFont="1" applyFill="1" applyAlignment="1">
      <alignment horizontal="center"/>
    </xf>
    <xf numFmtId="170" fontId="65" fillId="28" borderId="0" xfId="0" applyNumberFormat="1" applyFont="1" applyFill="1" applyBorder="1" applyAlignment="1">
      <alignment horizontal="center" vertical="center"/>
    </xf>
    <xf numFmtId="178" fontId="65" fillId="26" borderId="0" xfId="0" applyNumberFormat="1" applyFont="1" applyFill="1" applyBorder="1" applyAlignment="1">
      <alignment horizontal="center" vertical="center"/>
    </xf>
    <xf numFmtId="179" fontId="65" fillId="0" borderId="0" xfId="0" applyNumberFormat="1" applyFont="1" applyFill="1" applyBorder="1" applyAlignment="1">
      <alignment horizontal="center" vertical="center"/>
    </xf>
    <xf numFmtId="179" fontId="65" fillId="26" borderId="0" xfId="0" applyNumberFormat="1" applyFont="1" applyFill="1" applyBorder="1" applyAlignment="1">
      <alignment horizontal="center" vertical="center"/>
    </xf>
    <xf numFmtId="177" fontId="45" fillId="26" borderId="0" xfId="1" applyNumberFormat="1" applyFont="1" applyFill="1" applyAlignment="1">
      <alignment horizontal="center" vertical="center"/>
    </xf>
    <xf numFmtId="176" fontId="65" fillId="0" borderId="0" xfId="0" applyNumberFormat="1" applyFont="1" applyFill="1" applyBorder="1" applyAlignment="1">
      <alignment horizontal="center" vertical="center"/>
    </xf>
    <xf numFmtId="176" fontId="65" fillId="26" borderId="0" xfId="0" applyNumberFormat="1" applyFont="1" applyFill="1" applyBorder="1" applyAlignment="1">
      <alignment horizontal="center" vertical="center"/>
    </xf>
    <xf numFmtId="176" fontId="65" fillId="0" borderId="1" xfId="0" applyNumberFormat="1" applyFont="1" applyFill="1" applyBorder="1" applyAlignment="1">
      <alignment horizontal="center" vertical="center"/>
    </xf>
    <xf numFmtId="0" fontId="50" fillId="0" borderId="0" xfId="0" quotePrefix="1" applyFont="1" applyBorder="1" applyAlignment="1">
      <alignment horizontal="left"/>
    </xf>
    <xf numFmtId="171" fontId="65" fillId="26" borderId="15" xfId="140" applyNumberFormat="1" applyFont="1" applyFill="1" applyBorder="1" applyAlignment="1">
      <alignment horizontal="center" wrapText="1"/>
    </xf>
    <xf numFmtId="171" fontId="65" fillId="26" borderId="15" xfId="140" applyNumberFormat="1" applyFont="1" applyFill="1" applyBorder="1" applyAlignment="1">
      <alignment horizontal="center" vertical="center" wrapText="1"/>
    </xf>
    <xf numFmtId="166" fontId="74" fillId="27" borderId="0" xfId="81" applyNumberFormat="1" applyFont="1" applyFill="1" applyBorder="1" applyAlignment="1">
      <alignment horizontal="center" vertical="center" wrapText="1"/>
    </xf>
    <xf numFmtId="171" fontId="65" fillId="26" borderId="0" xfId="140" applyNumberFormat="1" applyFont="1" applyFill="1" applyBorder="1" applyAlignment="1">
      <alignment horizontal="center" vertical="center" wrapText="1"/>
    </xf>
    <xf numFmtId="166" fontId="45" fillId="29" borderId="0" xfId="0" applyNumberFormat="1" applyFont="1" applyFill="1" applyBorder="1" applyAlignment="1">
      <alignment horizontal="center" vertical="center"/>
    </xf>
    <xf numFmtId="169" fontId="45" fillId="0" borderId="0" xfId="1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176" fontId="65" fillId="26" borderId="1" xfId="0" applyNumberFormat="1" applyFont="1" applyFill="1" applyBorder="1" applyAlignment="1">
      <alignment horizontal="center" vertical="center"/>
    </xf>
    <xf numFmtId="171" fontId="48" fillId="29" borderId="0" xfId="0" applyNumberFormat="1" applyFont="1" applyFill="1" applyAlignment="1">
      <alignment horizontal="center" vertical="center"/>
    </xf>
    <xf numFmtId="171" fontId="71" fillId="29" borderId="0" xfId="0" applyNumberFormat="1" applyFont="1" applyFill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45" fillId="0" borderId="0" xfId="0" applyFont="1" applyAlignment="1">
      <alignment horizontal="left"/>
    </xf>
    <xf numFmtId="0" fontId="48" fillId="28" borderId="0" xfId="0" applyFont="1" applyFill="1" applyAlignment="1">
      <alignment horizontal="center" vertical="center"/>
    </xf>
    <xf numFmtId="171" fontId="48" fillId="28" borderId="0" xfId="0" applyNumberFormat="1" applyFont="1" applyFill="1" applyAlignment="1">
      <alignment horizontal="center" vertical="center"/>
    </xf>
    <xf numFmtId="0" fontId="45" fillId="28" borderId="0" xfId="0" applyFont="1" applyFill="1" applyAlignment="1">
      <alignment horizontal="center" vertical="center"/>
    </xf>
    <xf numFmtId="0" fontId="45" fillId="28" borderId="0" xfId="0" applyFont="1" applyFill="1"/>
    <xf numFmtId="0" fontId="45" fillId="28" borderId="0" xfId="0" applyFont="1" applyFill="1" applyAlignment="1">
      <alignment vertical="center"/>
    </xf>
    <xf numFmtId="166" fontId="45" fillId="28" borderId="0" xfId="0" applyNumberFormat="1" applyFont="1" applyFill="1" applyAlignment="1">
      <alignment horizontal="center" vertical="center"/>
    </xf>
    <xf numFmtId="0" fontId="76" fillId="26" borderId="0" xfId="136" applyFont="1" applyFill="1" applyAlignment="1">
      <alignment vertical="top"/>
    </xf>
    <xf numFmtId="0" fontId="76" fillId="26" borderId="0" xfId="136" applyFont="1" applyFill="1" applyAlignment="1">
      <alignment horizontal="center" vertical="top"/>
    </xf>
    <xf numFmtId="0" fontId="65" fillId="26" borderId="0" xfId="136" applyFont="1" applyFill="1" applyAlignment="1">
      <alignment vertical="top"/>
    </xf>
    <xf numFmtId="0" fontId="50" fillId="0" borderId="0" xfId="0" applyFont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47" fillId="26" borderId="0" xfId="136" applyFont="1" applyFill="1" applyAlignment="1">
      <alignment horizontal="center" vertical="center"/>
    </xf>
    <xf numFmtId="0" fontId="59" fillId="26" borderId="0" xfId="136" applyFont="1" applyFill="1" applyAlignment="1">
      <alignment horizontal="center" vertical="center"/>
    </xf>
    <xf numFmtId="166" fontId="74" fillId="27" borderId="0" xfId="136" applyNumberFormat="1" applyFont="1" applyFill="1" applyAlignment="1">
      <alignment horizontal="center" vertical="center"/>
    </xf>
    <xf numFmtId="0" fontId="44" fillId="26" borderId="15" xfId="140" applyFont="1" applyFill="1" applyBorder="1" applyAlignment="1">
      <alignment horizontal="left"/>
    </xf>
    <xf numFmtId="0" fontId="44" fillId="26" borderId="15" xfId="140" applyFont="1" applyFill="1" applyBorder="1" applyAlignment="1">
      <alignment horizontal="left" wrapText="1"/>
    </xf>
    <xf numFmtId="0" fontId="74" fillId="27" borderId="0" xfId="136" applyFont="1" applyFill="1" applyBorder="1" applyAlignment="1">
      <alignment horizontal="center" vertical="center"/>
    </xf>
    <xf numFmtId="171" fontId="74" fillId="27" borderId="0" xfId="136" applyNumberFormat="1" applyFont="1" applyFill="1" applyBorder="1" applyAlignment="1">
      <alignment horizontal="center" vertical="center"/>
    </xf>
    <xf numFmtId="0" fontId="44" fillId="0" borderId="15" xfId="81" applyFont="1" applyFill="1" applyBorder="1" applyAlignment="1">
      <alignment horizontal="left" vertical="center" wrapText="1"/>
    </xf>
    <xf numFmtId="0" fontId="44" fillId="26" borderId="0" xfId="140" applyFont="1" applyFill="1" applyBorder="1" applyAlignment="1">
      <alignment horizontal="left" wrapText="1"/>
    </xf>
    <xf numFmtId="171" fontId="65" fillId="0" borderId="15" xfId="81" applyNumberFormat="1" applyFont="1" applyFill="1" applyBorder="1" applyAlignment="1">
      <alignment horizontal="center" vertical="center" wrapText="1"/>
    </xf>
    <xf numFmtId="171" fontId="65" fillId="26" borderId="0" xfId="140" applyNumberFormat="1" applyFont="1" applyFill="1" applyBorder="1" applyAlignment="1">
      <alignment horizontal="center" wrapText="1"/>
    </xf>
    <xf numFmtId="0" fontId="44" fillId="26" borderId="15" xfId="140" applyFont="1" applyFill="1" applyBorder="1" applyAlignment="1">
      <alignment horizontal="center"/>
    </xf>
    <xf numFmtId="0" fontId="66" fillId="27" borderId="0" xfId="136" applyFont="1" applyFill="1" applyAlignment="1">
      <alignment horizontal="center" vertical="center"/>
    </xf>
    <xf numFmtId="0" fontId="66" fillId="27" borderId="0" xfId="81" applyFont="1" applyFill="1" applyBorder="1" applyAlignment="1">
      <alignment horizontal="center" vertical="center" wrapText="1"/>
    </xf>
    <xf numFmtId="0" fontId="66" fillId="27" borderId="14" xfId="81" applyFont="1" applyFill="1" applyBorder="1" applyAlignment="1">
      <alignment horizontal="center" vertical="center" wrapText="1"/>
    </xf>
    <xf numFmtId="0" fontId="44" fillId="26" borderId="15" xfId="140" applyFont="1" applyFill="1" applyBorder="1" applyAlignment="1">
      <alignment horizontal="center" wrapText="1"/>
    </xf>
    <xf numFmtId="0" fontId="44" fillId="26" borderId="15" xfId="140" applyFont="1" applyFill="1" applyBorder="1" applyAlignment="1">
      <alignment horizontal="center" vertical="top" wrapText="1"/>
    </xf>
    <xf numFmtId="171" fontId="86" fillId="0" borderId="0" xfId="136" applyNumberFormat="1" applyFont="1" applyFill="1" applyAlignment="1">
      <alignment vertical="center"/>
    </xf>
    <xf numFmtId="0" fontId="65" fillId="26" borderId="0" xfId="136" applyFont="1" applyFill="1" applyBorder="1" applyAlignment="1">
      <alignment horizontal="left" vertical="top" wrapText="1"/>
    </xf>
    <xf numFmtId="0" fontId="44" fillId="26" borderId="15" xfId="140" applyFont="1" applyFill="1" applyBorder="1" applyAlignment="1">
      <alignment horizontal="center" vertical="top"/>
    </xf>
    <xf numFmtId="180" fontId="65" fillId="26" borderId="0" xfId="0" applyNumberFormat="1" applyFont="1" applyFill="1" applyAlignment="1">
      <alignment horizontal="center" vertical="center"/>
    </xf>
    <xf numFmtId="180" fontId="65" fillId="26" borderId="0" xfId="0" applyNumberFormat="1" applyFont="1" applyFill="1" applyBorder="1" applyAlignment="1">
      <alignment horizontal="center" vertical="center"/>
    </xf>
    <xf numFmtId="0" fontId="86" fillId="0" borderId="0" xfId="136" applyFont="1" applyFill="1" applyAlignment="1">
      <alignment horizontal="left" vertical="center" wrapText="1" indent="1"/>
    </xf>
    <xf numFmtId="171" fontId="86" fillId="0" borderId="0" xfId="136" applyNumberFormat="1" applyFont="1" applyFill="1" applyAlignment="1">
      <alignment horizontal="center" vertical="center" wrapText="1"/>
    </xf>
    <xf numFmtId="171" fontId="86" fillId="0" borderId="0" xfId="138" applyNumberFormat="1" applyFont="1" applyFill="1" applyAlignment="1">
      <alignment horizontal="center" vertical="center" wrapText="1"/>
    </xf>
    <xf numFmtId="171" fontId="74" fillId="27" borderId="14" xfId="81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top"/>
    </xf>
    <xf numFmtId="0" fontId="76" fillId="0" borderId="0" xfId="136" applyFont="1" applyFill="1" applyAlignment="1">
      <alignment horizontal="left" vertical="top"/>
    </xf>
    <xf numFmtId="166" fontId="45" fillId="0" borderId="0" xfId="0" applyNumberFormat="1" applyFont="1" applyFill="1" applyBorder="1" applyAlignment="1">
      <alignment horizontal="center" vertical="center"/>
    </xf>
    <xf numFmtId="0" fontId="44" fillId="26" borderId="15" xfId="140" applyFont="1" applyFill="1" applyBorder="1" applyAlignment="1">
      <alignment vertical="center" wrapText="1"/>
    </xf>
    <xf numFmtId="0" fontId="77" fillId="26" borderId="0" xfId="2" applyFont="1" applyFill="1" applyAlignment="1">
      <alignment horizontal="center"/>
    </xf>
    <xf numFmtId="0" fontId="83" fillId="27" borderId="0" xfId="0" applyFont="1" applyFill="1" applyAlignment="1">
      <alignment horizontal="center" vertical="center"/>
    </xf>
    <xf numFmtId="0" fontId="81" fillId="26" borderId="0" xfId="2" applyFont="1" applyFill="1" applyAlignment="1">
      <alignment horizontal="center" vertical="center"/>
    </xf>
    <xf numFmtId="0" fontId="80" fillId="26" borderId="0" xfId="2" applyFont="1" applyFill="1" applyAlignment="1">
      <alignment horizontal="center"/>
    </xf>
    <xf numFmtId="2" fontId="77" fillId="26" borderId="0" xfId="2" applyNumberFormat="1" applyFont="1" applyFill="1" applyAlignment="1">
      <alignment horizontal="center"/>
    </xf>
    <xf numFmtId="0" fontId="50" fillId="0" borderId="0" xfId="0" applyFont="1" applyAlignment="1">
      <alignment horizontal="left" vertical="top" wrapText="1"/>
    </xf>
    <xf numFmtId="0" fontId="47" fillId="0" borderId="0" xfId="0" applyFont="1" applyBorder="1" applyAlignment="1">
      <alignment horizontal="center"/>
    </xf>
    <xf numFmtId="0" fontId="66" fillId="27" borderId="0" xfId="0" applyFont="1" applyFill="1" applyBorder="1" applyAlignment="1">
      <alignment horizontal="center" vertical="center" wrapText="1"/>
    </xf>
    <xf numFmtId="0" fontId="66" fillId="27" borderId="14" xfId="0" applyFont="1" applyFill="1" applyBorder="1" applyAlignment="1">
      <alignment horizontal="center" vertical="center" wrapText="1"/>
    </xf>
    <xf numFmtId="0" fontId="66" fillId="27" borderId="0" xfId="0" applyFont="1" applyFill="1" applyBorder="1" applyAlignment="1">
      <alignment horizontal="center" vertical="center"/>
    </xf>
    <xf numFmtId="0" fontId="66" fillId="27" borderId="14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50" fillId="0" borderId="0" xfId="0" applyFont="1" applyAlignment="1">
      <alignment horizontal="left" wrapText="1"/>
    </xf>
    <xf numFmtId="0" fontId="51" fillId="0" borderId="0" xfId="2" applyFont="1" applyAlignment="1">
      <alignment horizontal="left" wrapText="1"/>
    </xf>
    <xf numFmtId="0" fontId="66" fillId="27" borderId="0" xfId="8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49" fontId="48" fillId="28" borderId="0" xfId="81" applyNumberFormat="1" applyFont="1" applyFill="1" applyBorder="1" applyAlignment="1">
      <alignment horizontal="center"/>
    </xf>
    <xf numFmtId="49" fontId="48" fillId="28" borderId="0" xfId="81" applyNumberFormat="1" applyFont="1" applyFill="1" applyBorder="1" applyAlignment="1">
      <alignment horizontal="left" wrapText="1"/>
    </xf>
    <xf numFmtId="0" fontId="47" fillId="26" borderId="0" xfId="136" applyFont="1" applyFill="1" applyAlignment="1">
      <alignment horizontal="center" vertical="center"/>
    </xf>
    <xf numFmtId="0" fontId="59" fillId="26" borderId="0" xfId="136" applyFont="1" applyFill="1" applyAlignment="1">
      <alignment horizontal="center" vertical="center"/>
    </xf>
    <xf numFmtId="0" fontId="65" fillId="26" borderId="0" xfId="136" applyFont="1" applyFill="1" applyAlignment="1">
      <alignment horizontal="left" vertical="center"/>
    </xf>
    <xf numFmtId="0" fontId="65" fillId="26" borderId="0" xfId="136" applyFont="1" applyFill="1" applyAlignment="1">
      <alignment horizontal="left" vertical="center" wrapText="1"/>
    </xf>
    <xf numFmtId="0" fontId="66" fillId="27" borderId="14" xfId="81" applyFont="1" applyFill="1" applyBorder="1" applyAlignment="1">
      <alignment horizontal="center" vertical="center" wrapText="1"/>
    </xf>
    <xf numFmtId="0" fontId="74" fillId="27" borderId="0" xfId="81" applyFont="1" applyFill="1" applyAlignment="1">
      <alignment horizontal="center" vertical="center" wrapText="1"/>
    </xf>
    <xf numFmtId="0" fontId="76" fillId="0" borderId="0" xfId="136" applyFont="1" applyFill="1" applyAlignment="1">
      <alignment horizontal="left" vertical="top" wrapText="1"/>
    </xf>
    <xf numFmtId="0" fontId="50" fillId="0" borderId="0" xfId="0" applyFont="1" applyAlignment="1">
      <alignment horizontal="left"/>
    </xf>
    <xf numFmtId="0" fontId="71" fillId="28" borderId="14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0" xfId="0" applyFont="1" applyBorder="1" applyAlignment="1">
      <alignment horizontal="center" vertical="center"/>
    </xf>
    <xf numFmtId="0" fontId="43" fillId="28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8" fillId="29" borderId="0" xfId="0" applyFont="1" applyFill="1" applyBorder="1" applyAlignment="1">
      <alignment horizontal="center" vertical="center"/>
    </xf>
    <xf numFmtId="0" fontId="48" fillId="29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171" fontId="48" fillId="0" borderId="0" xfId="0" applyNumberFormat="1" applyFont="1" applyFill="1" applyAlignment="1">
      <alignment horizontal="center" vertical="center"/>
    </xf>
    <xf numFmtId="166" fontId="45" fillId="0" borderId="0" xfId="0" applyNumberFormat="1" applyFont="1" applyFill="1" applyBorder="1" applyAlignment="1">
      <alignment horizontal="center" vertical="center"/>
    </xf>
  </cellXfs>
  <cellStyles count="144">
    <cellStyle name="20% - Accent1" xfId="41"/>
    <cellStyle name="20% - Accent2" xfId="42"/>
    <cellStyle name="20% - Accent3" xfId="43"/>
    <cellStyle name="20% - Accent4" xfId="44"/>
    <cellStyle name="20% - Accent5" xfId="45"/>
    <cellStyle name="20% - Accent6" xfId="46"/>
    <cellStyle name="20% - Énfasis1 2" xfId="94"/>
    <cellStyle name="20% - Énfasis2 2" xfId="95"/>
    <cellStyle name="20% - Énfasis3 2" xfId="96"/>
    <cellStyle name="20% - Énfasis4 2" xfId="97"/>
    <cellStyle name="20% - Énfasis5 2" xfId="98"/>
    <cellStyle name="20% - Énfasis6 2" xfId="99"/>
    <cellStyle name="40% - Accent1" xfId="47"/>
    <cellStyle name="40% - Accent2" xfId="48"/>
    <cellStyle name="40% - Accent3" xfId="49"/>
    <cellStyle name="40% - Accent4" xfId="50"/>
    <cellStyle name="40% - Accent5" xfId="51"/>
    <cellStyle name="40% - Accent6" xfId="52"/>
    <cellStyle name="40% - Énfasis1 2" xfId="100"/>
    <cellStyle name="40% - Énfasis2 2" xfId="101"/>
    <cellStyle name="40% - Énfasis3 2" xfId="102"/>
    <cellStyle name="40% - Énfasis4 2" xfId="103"/>
    <cellStyle name="40% - Énfasis5 2" xfId="104"/>
    <cellStyle name="40% - Énfasis6 2" xfId="105"/>
    <cellStyle name="60% - Accent1" xfId="53"/>
    <cellStyle name="60% - Accent2" xfId="54"/>
    <cellStyle name="60% - Accent3" xfId="55"/>
    <cellStyle name="60% - Accent4" xfId="56"/>
    <cellStyle name="60% - Accent5" xfId="57"/>
    <cellStyle name="60% - Accent6" xfId="58"/>
    <cellStyle name="60% - Énfasis1 2" xfId="106"/>
    <cellStyle name="60% - Énfasis2 2" xfId="107"/>
    <cellStyle name="60% - Énfasis3 2" xfId="108"/>
    <cellStyle name="60% - Énfasis4 2" xfId="109"/>
    <cellStyle name="60% - Énfasis5 2" xfId="110"/>
    <cellStyle name="60% - Énfasis6 2" xfId="111"/>
    <cellStyle name="Accent1" xfId="59"/>
    <cellStyle name="Accent2" xfId="60"/>
    <cellStyle name="Accent3" xfId="61"/>
    <cellStyle name="Accent4" xfId="62"/>
    <cellStyle name="Accent5" xfId="63"/>
    <cellStyle name="Accent6" xfId="64"/>
    <cellStyle name="annee semestre" xfId="4"/>
    <cellStyle name="Bad" xfId="65"/>
    <cellStyle name="Buena 2" xfId="122"/>
    <cellStyle name="Calculation" xfId="66"/>
    <cellStyle name="Cálculo 2" xfId="119"/>
    <cellStyle name="Celda de comprobación 2" xfId="120"/>
    <cellStyle name="Celda vinculada 2" xfId="128"/>
    <cellStyle name="Check Cell" xfId="67"/>
    <cellStyle name="clsAltData" xfId="5"/>
    <cellStyle name="clsColumnHeader" xfId="6"/>
    <cellStyle name="clsData" xfId="7"/>
    <cellStyle name="clsDefault" xfId="8"/>
    <cellStyle name="clsRowHeader" xfId="9"/>
    <cellStyle name="Comma 2" xfId="10"/>
    <cellStyle name="données" xfId="11"/>
    <cellStyle name="donnéesbord" xfId="12"/>
    <cellStyle name="Encabezado 4 2" xfId="126"/>
    <cellStyle name="Énfasis1 2" xfId="112"/>
    <cellStyle name="Énfasis2 2" xfId="113"/>
    <cellStyle name="Énfasis3 2" xfId="114"/>
    <cellStyle name="Énfasis4 2" xfId="115"/>
    <cellStyle name="Énfasis5 2" xfId="116"/>
    <cellStyle name="Énfasis6 2" xfId="117"/>
    <cellStyle name="Entrada 2" xfId="127"/>
    <cellStyle name="Explanatory Text" xfId="69"/>
    <cellStyle name="Good" xfId="70"/>
    <cellStyle name="H1" xfId="13"/>
    <cellStyle name="H2" xfId="14"/>
    <cellStyle name="H3" xfId="15"/>
    <cellStyle name="H4" xfId="16"/>
    <cellStyle name="H5" xfId="17"/>
    <cellStyle name="Heading 1" xfId="71"/>
    <cellStyle name="Heading 2" xfId="72"/>
    <cellStyle name="Heading 3" xfId="73"/>
    <cellStyle name="Heading 4" xfId="74"/>
    <cellStyle name="Hipervínculo" xfId="2" builtinId="8"/>
    <cellStyle name="Hipervínculo 2" xfId="37"/>
    <cellStyle name="Hipervínculo 2 2" xfId="40"/>
    <cellStyle name="Hipervínculo 2 2 2" xfId="89"/>
    <cellStyle name="Hipervínculo 3" xfId="86"/>
    <cellStyle name="Hipervínculo 4" xfId="133"/>
    <cellStyle name="Hyperlink 2" xfId="18"/>
    <cellStyle name="Îáű÷íűé_ÂŰŐÎÄ" xfId="19"/>
    <cellStyle name="Incorrecto 2" xfId="118"/>
    <cellStyle name="Input" xfId="75"/>
    <cellStyle name="Linked Cell" xfId="76"/>
    <cellStyle name="Millares 2" xfId="68"/>
    <cellStyle name="Millares 2 2" xfId="90"/>
    <cellStyle name="Neutral 2" xfId="20"/>
    <cellStyle name="Normal" xfId="0" builtinId="0"/>
    <cellStyle name="Normal 2" xfId="1"/>
    <cellStyle name="Normal 2 2" xfId="22"/>
    <cellStyle name="Normal 2 2 2" xfId="135"/>
    <cellStyle name="Normal 2 3" xfId="21"/>
    <cellStyle name="Normal 2 4" xfId="3"/>
    <cellStyle name="Normal 2 4 2" xfId="38"/>
    <cellStyle name="Normal 2 4 2 2" xfId="88"/>
    <cellStyle name="Normal 2 5" xfId="136"/>
    <cellStyle name="Normal 20" xfId="140"/>
    <cellStyle name="Normal 3" xfId="23"/>
    <cellStyle name="Normal 3 2" xfId="142"/>
    <cellStyle name="Normal 4" xfId="24"/>
    <cellStyle name="Normal 5" xfId="82"/>
    <cellStyle name="Normal 5 2" xfId="84"/>
    <cellStyle name="Normal 5 2 2" xfId="93"/>
    <cellStyle name="Normal 5 3" xfId="92"/>
    <cellStyle name="Normal 5 4" xfId="85"/>
    <cellStyle name="Normal 5 5" xfId="134"/>
    <cellStyle name="Normal 6" xfId="83"/>
    <cellStyle name="Normal 6 2" xfId="87"/>
    <cellStyle name="Normal 7" xfId="139"/>
    <cellStyle name="Normal 8" xfId="141"/>
    <cellStyle name="Normal_CONSTANT 2" xfId="39"/>
    <cellStyle name="Normal_REMESAS" xfId="81"/>
    <cellStyle name="normální 2" xfId="25"/>
    <cellStyle name="normální 2 2" xfId="26"/>
    <cellStyle name="normální_povolenikpopbytudlezemipuvodu942000" xfId="27"/>
    <cellStyle name="Notas 2" xfId="129"/>
    <cellStyle name="Note" xfId="77"/>
    <cellStyle name="Note 2" xfId="91"/>
    <cellStyle name="notes" xfId="28"/>
    <cellStyle name="Output" xfId="78"/>
    <cellStyle name="Percent 2" xfId="29"/>
    <cellStyle name="Porcentaje 2" xfId="137"/>
    <cellStyle name="Porcentaje 2 2" xfId="138"/>
    <cellStyle name="Porcentaje 3" xfId="143"/>
    <cellStyle name="Salida 2" xfId="130"/>
    <cellStyle name="semestre" xfId="30"/>
    <cellStyle name="Style 27" xfId="31"/>
    <cellStyle name="Style 35" xfId="32"/>
    <cellStyle name="Style 36" xfId="33"/>
    <cellStyle name="tête chapitre" xfId="34"/>
    <cellStyle name="Texto de advertencia 2" xfId="132"/>
    <cellStyle name="Texto explicativo 2" xfId="121"/>
    <cellStyle name="Title" xfId="79"/>
    <cellStyle name="titre" xfId="35"/>
    <cellStyle name="Título 1 2" xfId="123"/>
    <cellStyle name="Título 2 2" xfId="124"/>
    <cellStyle name="Título 3 2" xfId="125"/>
    <cellStyle name="Título 4" xfId="131"/>
    <cellStyle name="Total 2" xfId="36"/>
    <cellStyle name="Warning Text" xfId="80"/>
  </cellStyles>
  <dxfs count="0"/>
  <tableStyles count="0" defaultTableStyle="TableStyleMedium2" defaultPivotStyle="PivotStyleLight16"/>
  <colors>
    <mruColors>
      <color rgb="FFD4C19C"/>
      <color rgb="FF9D2449"/>
      <color rgb="FF285C4D"/>
      <color rgb="FF13322B"/>
      <color rgb="FFD2D2D2"/>
      <color rgb="FF621132"/>
      <color rgb="FFAAAAAA"/>
      <color rgb="FFFF00FF"/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4</xdr:col>
      <xdr:colOff>38100</xdr:colOff>
      <xdr:row>5</xdr:row>
      <xdr:rowOff>114300</xdr:rowOff>
    </xdr:to>
    <xdr:pic>
      <xdr:nvPicPr>
        <xdr:cNvPr id="2" name="Imagen 1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0"/>
          <a:ext cx="6924766" cy="1409700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0</xdr:rowOff>
    </xdr:from>
    <xdr:to>
      <xdr:col>12</xdr:col>
      <xdr:colOff>28666</xdr:colOff>
      <xdr:row>6</xdr:row>
      <xdr:rowOff>76200</xdr:rowOff>
    </xdr:to>
    <xdr:pic>
      <xdr:nvPicPr>
        <xdr:cNvPr id="3" name="Imagen 2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0"/>
          <a:ext cx="6924766" cy="1409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12</xdr:col>
      <xdr:colOff>679146</xdr:colOff>
      <xdr:row>4</xdr:row>
      <xdr:rowOff>276225</xdr:rowOff>
    </xdr:to>
    <xdr:pic>
      <xdr:nvPicPr>
        <xdr:cNvPr id="6" name="Imagen 5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0"/>
          <a:ext cx="5775021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9</xdr:col>
      <xdr:colOff>726771</xdr:colOff>
      <xdr:row>4</xdr:row>
      <xdr:rowOff>276225</xdr:rowOff>
    </xdr:to>
    <xdr:pic>
      <xdr:nvPicPr>
        <xdr:cNvPr id="5" name="Imagen 4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5775021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0</xdr:rowOff>
    </xdr:from>
    <xdr:to>
      <xdr:col>8</xdr:col>
      <xdr:colOff>888696</xdr:colOff>
      <xdr:row>5</xdr:row>
      <xdr:rowOff>66675</xdr:rowOff>
    </xdr:to>
    <xdr:pic>
      <xdr:nvPicPr>
        <xdr:cNvPr id="5" name="Imagen 4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0"/>
          <a:ext cx="5775021" cy="1181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0</xdr:rowOff>
    </xdr:from>
    <xdr:to>
      <xdr:col>8</xdr:col>
      <xdr:colOff>679146</xdr:colOff>
      <xdr:row>4</xdr:row>
      <xdr:rowOff>247650</xdr:rowOff>
    </xdr:to>
    <xdr:pic>
      <xdr:nvPicPr>
        <xdr:cNvPr id="5" name="Imagen 4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" y="0"/>
          <a:ext cx="5775021" cy="1181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7</xdr:col>
      <xdr:colOff>755346</xdr:colOff>
      <xdr:row>5</xdr:row>
      <xdr:rowOff>228600</xdr:rowOff>
    </xdr:to>
    <xdr:pic>
      <xdr:nvPicPr>
        <xdr:cNvPr id="4" name="Imagen 3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0"/>
          <a:ext cx="5775021" cy="1181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0</xdr:rowOff>
    </xdr:from>
    <xdr:to>
      <xdr:col>5</xdr:col>
      <xdr:colOff>1679271</xdr:colOff>
      <xdr:row>5</xdr:row>
      <xdr:rowOff>19050</xdr:rowOff>
    </xdr:to>
    <xdr:pic>
      <xdr:nvPicPr>
        <xdr:cNvPr id="7" name="Imagen 6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5775021" cy="1181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914399</xdr:colOff>
      <xdr:row>0</xdr:row>
      <xdr:rowOff>0</xdr:rowOff>
    </xdr:from>
    <xdr:to>
      <xdr:col>6</xdr:col>
      <xdr:colOff>441020</xdr:colOff>
      <xdr:row>4</xdr:row>
      <xdr:rowOff>266700</xdr:rowOff>
    </xdr:to>
    <xdr:pic>
      <xdr:nvPicPr>
        <xdr:cNvPr id="4" name="Imagen 3" descr="Logotipo&#10;&#10;Descripción generada automáticamente con confianza media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4" y="0"/>
          <a:ext cx="5775021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P\Migration\IMDB\Estimates\AGE\Migrants%20age%20distribution%20ALL%20(orig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amuel/QIV%2007-08%20data/dai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PP2004_EXCEL_FILES/DB02_Stock_Indicators/WPP2004_DB2_F02_TOTAL_POPULATION_MA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IACOM~1.SBR\LOCALS~1\Temp\notesC9812B\refugees%20stock%20Dec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%20Backup\Files\Migration\MigrationWor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ive%20Files\UN-2010\Migration\Migration%20Report%202009\MigrationWor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A - original"/>
      <sheetName val="B - redistributed"/>
      <sheetName val="C - original 5y"/>
      <sheetName val="LIST"/>
    </sheetNames>
    <sheetDataSet>
      <sheetData sheetId="0">
        <row r="45">
          <cell r="A45">
            <v>1</v>
          </cell>
          <cell r="C45">
            <v>1966</v>
          </cell>
        </row>
        <row r="46">
          <cell r="C46">
            <v>0.14947907752866679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C47">
            <v>0.12060371384562725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C48">
            <v>9.4584331678932057E-2</v>
          </cell>
        </row>
        <row r="49">
          <cell r="C49">
            <v>6.9131867191511209E-2</v>
          </cell>
        </row>
        <row r="50">
          <cell r="C50">
            <v>8.2085401334930683E-2</v>
          </cell>
        </row>
        <row r="51">
          <cell r="C51">
            <v>9.4905228478521314E-2</v>
          </cell>
        </row>
        <row r="52">
          <cell r="C52">
            <v>8.1834032175252439E-2</v>
          </cell>
        </row>
        <row r="53">
          <cell r="C53">
            <v>6.7233227793941475E-2</v>
          </cell>
        </row>
        <row r="54">
          <cell r="C54">
            <v>5.3948100290946432E-2</v>
          </cell>
        </row>
        <row r="55">
          <cell r="C55">
            <v>4.1352900907068287E-2</v>
          </cell>
        </row>
        <row r="56">
          <cell r="C56">
            <v>3.9587968509327401E-2</v>
          </cell>
        </row>
        <row r="57">
          <cell r="C57">
            <v>3.2426621598493924E-2</v>
          </cell>
        </row>
        <row r="58">
          <cell r="C58">
            <v>2.4997860688002738E-2</v>
          </cell>
        </row>
        <row r="59">
          <cell r="C59">
            <v>4.7829667978778023E-2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"/>
      <sheetName val="LOW"/>
      <sheetName val="MEDIUM"/>
      <sheetName val="HIGH"/>
      <sheetName val="CONSTANT"/>
      <sheetName val="NOTES"/>
      <sheetName val="Male ESTIMAT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4">
          <cell r="A4" t="str">
            <v>Afghanistan</v>
          </cell>
          <cell r="B4">
            <v>30</v>
          </cell>
        </row>
        <row r="5">
          <cell r="A5" t="str">
            <v>Albania</v>
          </cell>
          <cell r="B5">
            <v>51</v>
          </cell>
        </row>
        <row r="6">
          <cell r="A6" t="str">
            <v>Algeria</v>
          </cell>
          <cell r="B6">
            <v>169048</v>
          </cell>
        </row>
        <row r="7">
          <cell r="A7" t="str">
            <v>Angola</v>
          </cell>
          <cell r="B7">
            <v>13970</v>
          </cell>
        </row>
        <row r="8">
          <cell r="A8" t="str">
            <v>Argentina</v>
          </cell>
          <cell r="B8">
            <v>2916</v>
          </cell>
        </row>
        <row r="9">
          <cell r="A9" t="str">
            <v>Armenia</v>
          </cell>
          <cell r="B9">
            <v>235235</v>
          </cell>
        </row>
        <row r="10">
          <cell r="A10" t="str">
            <v>Australia</v>
          </cell>
          <cell r="B10">
            <v>63476</v>
          </cell>
        </row>
        <row r="11">
          <cell r="A11" t="str">
            <v>Austria</v>
          </cell>
          <cell r="B11">
            <v>17795</v>
          </cell>
        </row>
        <row r="12">
          <cell r="A12" t="str">
            <v>Azerbaijan</v>
          </cell>
          <cell r="B12">
            <v>8606</v>
          </cell>
        </row>
        <row r="13">
          <cell r="A13" t="str">
            <v>Bahrain</v>
          </cell>
          <cell r="B13">
            <v>0</v>
          </cell>
        </row>
        <row r="14">
          <cell r="A14" t="str">
            <v>Bangladesh</v>
          </cell>
          <cell r="B14">
            <v>20449</v>
          </cell>
        </row>
        <row r="15">
          <cell r="A15" t="str">
            <v>Belarus</v>
          </cell>
          <cell r="B15">
            <v>725</v>
          </cell>
        </row>
        <row r="16">
          <cell r="A16" t="str">
            <v>Belgium</v>
          </cell>
          <cell r="B16">
            <v>13529</v>
          </cell>
        </row>
        <row r="17">
          <cell r="A17" t="str">
            <v>Belize</v>
          </cell>
          <cell r="B17">
            <v>732</v>
          </cell>
        </row>
        <row r="18">
          <cell r="A18" t="str">
            <v>Benin</v>
          </cell>
          <cell r="B18">
            <v>4802</v>
          </cell>
        </row>
        <row r="19">
          <cell r="A19" t="str">
            <v>Bolivia</v>
          </cell>
          <cell r="B19">
            <v>524</v>
          </cell>
        </row>
        <row r="20">
          <cell r="A20" t="str">
            <v>Bosnia and Herzegovina</v>
          </cell>
          <cell r="B20">
            <v>22215</v>
          </cell>
        </row>
        <row r="21">
          <cell r="A21" t="str">
            <v>Botswana</v>
          </cell>
          <cell r="B21">
            <v>2839</v>
          </cell>
        </row>
        <row r="22">
          <cell r="A22" t="str">
            <v>Brazil</v>
          </cell>
          <cell r="B22">
            <v>3345</v>
          </cell>
        </row>
        <row r="23">
          <cell r="A23" t="str">
            <v>Bulgaria</v>
          </cell>
          <cell r="B23">
            <v>4684</v>
          </cell>
        </row>
        <row r="24">
          <cell r="A24" t="str">
            <v>Burkina Faso</v>
          </cell>
          <cell r="B24">
            <v>492</v>
          </cell>
        </row>
        <row r="25">
          <cell r="A25" t="str">
            <v>Burundi</v>
          </cell>
          <cell r="B25">
            <v>48808</v>
          </cell>
        </row>
        <row r="26">
          <cell r="A26" t="str">
            <v>Cambodia</v>
          </cell>
          <cell r="B26">
            <v>382</v>
          </cell>
        </row>
        <row r="27">
          <cell r="A27" t="str">
            <v>Cameroon</v>
          </cell>
          <cell r="B27">
            <v>58861</v>
          </cell>
        </row>
        <row r="28">
          <cell r="A28" t="str">
            <v>Canada</v>
          </cell>
          <cell r="B28">
            <v>141398</v>
          </cell>
        </row>
        <row r="29">
          <cell r="A29" t="str">
            <v>Central African Republic</v>
          </cell>
          <cell r="B29">
            <v>25020</v>
          </cell>
        </row>
        <row r="30">
          <cell r="A30" t="str">
            <v>Chad</v>
          </cell>
          <cell r="B30">
            <v>259880</v>
          </cell>
        </row>
        <row r="31">
          <cell r="A31" t="str">
            <v>Chile</v>
          </cell>
          <cell r="B31">
            <v>569</v>
          </cell>
        </row>
        <row r="32">
          <cell r="A32" t="str">
            <v>China</v>
          </cell>
          <cell r="B32">
            <v>299375</v>
          </cell>
        </row>
        <row r="33">
          <cell r="A33" t="str">
            <v>Colombia</v>
          </cell>
          <cell r="B33">
            <v>141</v>
          </cell>
        </row>
        <row r="34">
          <cell r="A34" t="str">
            <v>Comoros</v>
          </cell>
          <cell r="B34">
            <v>0</v>
          </cell>
        </row>
        <row r="35">
          <cell r="A35" t="str">
            <v>Congo</v>
          </cell>
          <cell r="B35">
            <v>68536</v>
          </cell>
        </row>
        <row r="36">
          <cell r="A36" t="str">
            <v>Costa Rica</v>
          </cell>
          <cell r="B36">
            <v>10413</v>
          </cell>
        </row>
        <row r="37">
          <cell r="A37" t="str">
            <v>Côte d'Ivoire</v>
          </cell>
          <cell r="B37">
            <v>72088</v>
          </cell>
        </row>
        <row r="38">
          <cell r="A38" t="str">
            <v>Croatia</v>
          </cell>
          <cell r="B38">
            <v>3663</v>
          </cell>
        </row>
        <row r="39">
          <cell r="A39" t="str">
            <v>Cuba</v>
          </cell>
          <cell r="B39">
            <v>795</v>
          </cell>
        </row>
        <row r="40">
          <cell r="A40" t="str">
            <v>Cyprus</v>
          </cell>
          <cell r="B40">
            <v>531</v>
          </cell>
        </row>
        <row r="41">
          <cell r="A41" t="str">
            <v>Czech Republic</v>
          </cell>
          <cell r="B41">
            <v>1144</v>
          </cell>
        </row>
        <row r="42">
          <cell r="A42" t="str">
            <v>Dem. Rep. of the Congo</v>
          </cell>
          <cell r="B42">
            <v>199323</v>
          </cell>
        </row>
        <row r="43">
          <cell r="A43" t="str">
            <v>Denmark</v>
          </cell>
          <cell r="B43">
            <v>65310</v>
          </cell>
        </row>
        <row r="44">
          <cell r="A44" t="str">
            <v>Djibouti</v>
          </cell>
          <cell r="B44">
            <v>18035</v>
          </cell>
        </row>
        <row r="45">
          <cell r="A45" t="str">
            <v>Ecuador</v>
          </cell>
          <cell r="B45">
            <v>8450</v>
          </cell>
        </row>
        <row r="46">
          <cell r="A46" t="str">
            <v>Egypt</v>
          </cell>
          <cell r="B46">
            <v>90343</v>
          </cell>
        </row>
        <row r="47">
          <cell r="A47" t="str">
            <v>El Salvador</v>
          </cell>
          <cell r="B47">
            <v>235</v>
          </cell>
        </row>
        <row r="48">
          <cell r="A48" t="str">
            <v>Equatorial Guinea</v>
          </cell>
          <cell r="B48">
            <v>0</v>
          </cell>
        </row>
        <row r="49">
          <cell r="A49" t="str">
            <v>Eritrea</v>
          </cell>
          <cell r="B49">
            <v>4240</v>
          </cell>
        </row>
        <row r="50">
          <cell r="A50" t="str">
            <v>Estonia</v>
          </cell>
          <cell r="B50">
            <v>11</v>
          </cell>
        </row>
        <row r="51">
          <cell r="A51" t="str">
            <v>Ethiopia</v>
          </cell>
          <cell r="B51">
            <v>115980</v>
          </cell>
        </row>
        <row r="52">
          <cell r="A52" t="str">
            <v>Finland</v>
          </cell>
          <cell r="B52">
            <v>11325</v>
          </cell>
        </row>
        <row r="53">
          <cell r="A53" t="str">
            <v>France</v>
          </cell>
          <cell r="B53">
            <v>139852</v>
          </cell>
        </row>
        <row r="54">
          <cell r="A54" t="str">
            <v>Gabon</v>
          </cell>
          <cell r="B54">
            <v>13787</v>
          </cell>
        </row>
        <row r="55">
          <cell r="A55" t="str">
            <v>Gambia</v>
          </cell>
          <cell r="B55">
            <v>7343</v>
          </cell>
        </row>
        <row r="56">
          <cell r="A56" t="str">
            <v>Georgia</v>
          </cell>
          <cell r="B56">
            <v>2559</v>
          </cell>
        </row>
        <row r="57">
          <cell r="A57" t="str">
            <v>Germany</v>
          </cell>
          <cell r="B57">
            <v>876622</v>
          </cell>
        </row>
        <row r="58">
          <cell r="A58" t="str">
            <v>Ghana</v>
          </cell>
          <cell r="B58">
            <v>42053</v>
          </cell>
        </row>
        <row r="59">
          <cell r="A59" t="str">
            <v>Greece</v>
          </cell>
          <cell r="B59">
            <v>2489</v>
          </cell>
        </row>
        <row r="60">
          <cell r="A60" t="str">
            <v>Guatemala</v>
          </cell>
          <cell r="B60">
            <v>656</v>
          </cell>
        </row>
        <row r="61">
          <cell r="A61" t="str">
            <v>Guinea</v>
          </cell>
          <cell r="B61">
            <v>139252</v>
          </cell>
        </row>
        <row r="62">
          <cell r="A62" t="str">
            <v>Guinea-Bissau</v>
          </cell>
          <cell r="B62">
            <v>7536</v>
          </cell>
        </row>
        <row r="63">
          <cell r="A63" t="str">
            <v>Haiti</v>
          </cell>
          <cell r="B63">
            <v>0</v>
          </cell>
        </row>
        <row r="64">
          <cell r="A64" t="str">
            <v>Honduras</v>
          </cell>
          <cell r="B64">
            <v>23</v>
          </cell>
        </row>
        <row r="65">
          <cell r="A65" t="str">
            <v>Hong Kong SAR, China</v>
          </cell>
          <cell r="B65">
            <v>1868</v>
          </cell>
        </row>
        <row r="66">
          <cell r="A66" t="str">
            <v>Hungary</v>
          </cell>
          <cell r="B66">
            <v>7708</v>
          </cell>
        </row>
        <row r="67">
          <cell r="A67" t="str">
            <v>Iceland</v>
          </cell>
          <cell r="B67">
            <v>239</v>
          </cell>
        </row>
        <row r="68">
          <cell r="A68" t="str">
            <v>India</v>
          </cell>
          <cell r="B68">
            <v>162687</v>
          </cell>
        </row>
        <row r="69">
          <cell r="A69" t="str">
            <v>Indonesia</v>
          </cell>
          <cell r="B69">
            <v>169</v>
          </cell>
        </row>
        <row r="70">
          <cell r="A70" t="str">
            <v>Iraq</v>
          </cell>
          <cell r="B70">
            <v>46053</v>
          </cell>
        </row>
        <row r="71">
          <cell r="A71" t="str">
            <v>Ireland</v>
          </cell>
          <cell r="B71">
            <v>7201</v>
          </cell>
        </row>
        <row r="72">
          <cell r="A72" t="str">
            <v>Islamic Rep. of Iran</v>
          </cell>
          <cell r="B72">
            <v>1045976</v>
          </cell>
        </row>
        <row r="73">
          <cell r="A73" t="str">
            <v>Israel</v>
          </cell>
          <cell r="B73">
            <v>574</v>
          </cell>
        </row>
        <row r="74">
          <cell r="A74" t="str">
            <v>Italy</v>
          </cell>
          <cell r="B74">
            <v>15674</v>
          </cell>
        </row>
        <row r="75">
          <cell r="A75" t="str">
            <v>Japan</v>
          </cell>
          <cell r="B75">
            <v>1967</v>
          </cell>
        </row>
        <row r="76">
          <cell r="A76" t="str">
            <v>Jordan</v>
          </cell>
          <cell r="B76">
            <v>1777769</v>
          </cell>
        </row>
        <row r="77">
          <cell r="A77" t="str">
            <v>Kazakhstan</v>
          </cell>
          <cell r="B77">
            <v>15844</v>
          </cell>
        </row>
        <row r="78">
          <cell r="A78" t="str">
            <v>Kenya</v>
          </cell>
          <cell r="B78">
            <v>239835</v>
          </cell>
        </row>
        <row r="79">
          <cell r="A79" t="str">
            <v>Kuwait</v>
          </cell>
          <cell r="B79">
            <v>1519</v>
          </cell>
        </row>
        <row r="80">
          <cell r="A80" t="str">
            <v>Kyrgyzstan</v>
          </cell>
          <cell r="B80">
            <v>3753</v>
          </cell>
        </row>
        <row r="81">
          <cell r="A81" t="str">
            <v>Lao People's Dem. Rep.</v>
          </cell>
          <cell r="B81">
            <v>0</v>
          </cell>
        </row>
        <row r="82">
          <cell r="A82" t="str">
            <v>Latvia</v>
          </cell>
          <cell r="B82">
            <v>11</v>
          </cell>
        </row>
        <row r="83">
          <cell r="A83" t="str">
            <v>Lebanon</v>
          </cell>
          <cell r="B83">
            <v>400905</v>
          </cell>
        </row>
        <row r="84">
          <cell r="A84" t="str">
            <v>Lesotho</v>
          </cell>
          <cell r="B84">
            <v>0</v>
          </cell>
        </row>
        <row r="85">
          <cell r="A85" t="str">
            <v>Liberia</v>
          </cell>
          <cell r="B85">
            <v>15172</v>
          </cell>
        </row>
        <row r="86">
          <cell r="A86" t="str">
            <v>Libyan Arab Jamahiriya</v>
          </cell>
          <cell r="B86">
            <v>12166</v>
          </cell>
        </row>
        <row r="87">
          <cell r="A87" t="str">
            <v>Liechtenstein</v>
          </cell>
          <cell r="B87">
            <v>149</v>
          </cell>
        </row>
        <row r="88">
          <cell r="A88" t="str">
            <v>Lithuania</v>
          </cell>
          <cell r="B88">
            <v>403</v>
          </cell>
        </row>
        <row r="89">
          <cell r="A89" t="str">
            <v>Luxembourg</v>
          </cell>
          <cell r="B89">
            <v>1590</v>
          </cell>
        </row>
        <row r="90">
          <cell r="A90" t="str">
            <v>Madagascar</v>
          </cell>
          <cell r="B90">
            <v>0</v>
          </cell>
        </row>
        <row r="91">
          <cell r="A91" t="str">
            <v>Malawi</v>
          </cell>
          <cell r="B91">
            <v>3682</v>
          </cell>
        </row>
        <row r="92">
          <cell r="A92" t="str">
            <v>Malaysia</v>
          </cell>
          <cell r="B92">
            <v>24905</v>
          </cell>
        </row>
        <row r="93">
          <cell r="A93" t="str">
            <v>Mali</v>
          </cell>
          <cell r="B93">
            <v>11256</v>
          </cell>
        </row>
        <row r="94">
          <cell r="A94" t="str">
            <v>Malta</v>
          </cell>
          <cell r="B94">
            <v>1558</v>
          </cell>
        </row>
        <row r="95">
          <cell r="A95" t="str">
            <v>Mauritania</v>
          </cell>
          <cell r="B95">
            <v>473</v>
          </cell>
        </row>
        <row r="96">
          <cell r="A96" t="str">
            <v>Mauritius</v>
          </cell>
          <cell r="B96">
            <v>0</v>
          </cell>
        </row>
        <row r="97">
          <cell r="A97" t="str">
            <v>Mexico</v>
          </cell>
          <cell r="B97">
            <v>4343</v>
          </cell>
        </row>
        <row r="98">
          <cell r="A98" t="str">
            <v>Mongolia</v>
          </cell>
          <cell r="B98">
            <v>0</v>
          </cell>
        </row>
        <row r="99">
          <cell r="A99" t="str">
            <v>Morocco</v>
          </cell>
          <cell r="B99">
            <v>2121</v>
          </cell>
        </row>
        <row r="100">
          <cell r="A100" t="str">
            <v>Mozambique</v>
          </cell>
          <cell r="B100">
            <v>623</v>
          </cell>
        </row>
        <row r="101">
          <cell r="A101" t="str">
            <v>Myanmar</v>
          </cell>
          <cell r="B101">
            <v>0</v>
          </cell>
        </row>
        <row r="102">
          <cell r="A102" t="str">
            <v>Namibia</v>
          </cell>
          <cell r="B102">
            <v>14773</v>
          </cell>
        </row>
        <row r="103">
          <cell r="A103" t="str">
            <v>Nepal</v>
          </cell>
          <cell r="B103">
            <v>124928</v>
          </cell>
        </row>
        <row r="104">
          <cell r="A104" t="str">
            <v>Netherlands</v>
          </cell>
          <cell r="B104">
            <v>126805</v>
          </cell>
        </row>
        <row r="105">
          <cell r="A105" t="str">
            <v>New Zealand</v>
          </cell>
          <cell r="B105">
            <v>5175</v>
          </cell>
        </row>
        <row r="106">
          <cell r="A106" t="str">
            <v>Nicaragua</v>
          </cell>
          <cell r="B106">
            <v>292</v>
          </cell>
        </row>
        <row r="107">
          <cell r="A107" t="str">
            <v>Niger</v>
          </cell>
          <cell r="B107">
            <v>344</v>
          </cell>
        </row>
        <row r="108">
          <cell r="A108" t="str">
            <v>Nigeria</v>
          </cell>
          <cell r="B108">
            <v>8395</v>
          </cell>
        </row>
        <row r="109">
          <cell r="A109" t="str">
            <v>Norway</v>
          </cell>
          <cell r="B109">
            <v>44046</v>
          </cell>
        </row>
        <row r="110">
          <cell r="A110" t="str">
            <v>Occupied Palestinian Territory</v>
          </cell>
          <cell r="B110">
            <v>1634952</v>
          </cell>
        </row>
        <row r="111">
          <cell r="A111" t="str">
            <v>Oman</v>
          </cell>
          <cell r="B111">
            <v>7</v>
          </cell>
        </row>
        <row r="112">
          <cell r="A112" t="str">
            <v>Pakistan*</v>
          </cell>
          <cell r="B112">
            <v>960617</v>
          </cell>
        </row>
        <row r="113">
          <cell r="A113" t="str">
            <v>Panama</v>
          </cell>
          <cell r="B113">
            <v>1608</v>
          </cell>
        </row>
        <row r="114">
          <cell r="A114" t="str">
            <v>Papua New Guinea</v>
          </cell>
          <cell r="B114">
            <v>7627</v>
          </cell>
        </row>
        <row r="115">
          <cell r="A115" t="str">
            <v>Paraguay</v>
          </cell>
          <cell r="B115">
            <v>41</v>
          </cell>
        </row>
        <row r="116">
          <cell r="A116" t="str">
            <v>Peru</v>
          </cell>
          <cell r="B116">
            <v>766</v>
          </cell>
        </row>
        <row r="117">
          <cell r="A117" t="str">
            <v>Philippines</v>
          </cell>
          <cell r="B117">
            <v>107</v>
          </cell>
        </row>
        <row r="118">
          <cell r="A118" t="str">
            <v>Poland</v>
          </cell>
          <cell r="B118">
            <v>2507</v>
          </cell>
        </row>
        <row r="119">
          <cell r="A119" t="str">
            <v>Portugal</v>
          </cell>
          <cell r="B119">
            <v>377</v>
          </cell>
        </row>
        <row r="120">
          <cell r="A120" t="str">
            <v>Qatar</v>
          </cell>
          <cell r="B120">
            <v>46</v>
          </cell>
        </row>
        <row r="121">
          <cell r="A121" t="str">
            <v>Dem. People's Rep. of Korea</v>
          </cell>
          <cell r="B121">
            <v>44</v>
          </cell>
        </row>
        <row r="122">
          <cell r="A122" t="str">
            <v>Republic of Moldova</v>
          </cell>
          <cell r="B122">
            <v>57</v>
          </cell>
        </row>
        <row r="123">
          <cell r="A123" t="str">
            <v>Romania</v>
          </cell>
          <cell r="B123">
            <v>1627</v>
          </cell>
        </row>
        <row r="124">
          <cell r="A124" t="str">
            <v>Russian Federation</v>
          </cell>
          <cell r="B124">
            <v>1852</v>
          </cell>
        </row>
        <row r="125">
          <cell r="A125" t="str">
            <v>Rwanda</v>
          </cell>
          <cell r="B125">
            <v>50221</v>
          </cell>
        </row>
        <row r="126">
          <cell r="A126" t="str">
            <v>Sao Tome and Principe</v>
          </cell>
          <cell r="B126">
            <v>0</v>
          </cell>
        </row>
        <row r="127">
          <cell r="A127" t="str">
            <v>Saudi Arabia</v>
          </cell>
          <cell r="B127">
            <v>240552</v>
          </cell>
        </row>
        <row r="128">
          <cell r="A128" t="str">
            <v>Senegal</v>
          </cell>
          <cell r="B128">
            <v>20804</v>
          </cell>
        </row>
        <row r="129">
          <cell r="A129" t="str">
            <v>Serbia and Montenegro</v>
          </cell>
          <cell r="B129">
            <v>276683</v>
          </cell>
        </row>
        <row r="130">
          <cell r="A130" t="str">
            <v>Sierra Leone</v>
          </cell>
          <cell r="B130">
            <v>65437</v>
          </cell>
        </row>
        <row r="131">
          <cell r="A131" t="str">
            <v>Singapore</v>
          </cell>
          <cell r="B131">
            <v>1</v>
          </cell>
        </row>
        <row r="132">
          <cell r="A132" t="str">
            <v>Slovakia</v>
          </cell>
          <cell r="B132">
            <v>409</v>
          </cell>
        </row>
        <row r="133">
          <cell r="A133" t="str">
            <v>Slovenia</v>
          </cell>
          <cell r="B133">
            <v>304</v>
          </cell>
        </row>
        <row r="134">
          <cell r="A134" t="str">
            <v>Somalia</v>
          </cell>
          <cell r="B134">
            <v>357</v>
          </cell>
        </row>
        <row r="135">
          <cell r="A135" t="str">
            <v>South Africa</v>
          </cell>
          <cell r="B135">
            <v>27683</v>
          </cell>
        </row>
        <row r="136">
          <cell r="A136" t="str">
            <v>Spain</v>
          </cell>
          <cell r="B136">
            <v>5635</v>
          </cell>
        </row>
        <row r="137">
          <cell r="A137" t="str">
            <v>Sri Lanka</v>
          </cell>
          <cell r="B137">
            <v>63</v>
          </cell>
        </row>
        <row r="138">
          <cell r="A138" t="str">
            <v>Sudan</v>
          </cell>
          <cell r="B138">
            <v>141588</v>
          </cell>
        </row>
        <row r="139">
          <cell r="A139" t="str">
            <v>Suriname</v>
          </cell>
          <cell r="B139">
            <v>0</v>
          </cell>
        </row>
        <row r="140">
          <cell r="A140" t="str">
            <v>Swaziland</v>
          </cell>
          <cell r="B140">
            <v>704</v>
          </cell>
        </row>
        <row r="141">
          <cell r="A141" t="str">
            <v>Sweden</v>
          </cell>
          <cell r="B141">
            <v>73408</v>
          </cell>
        </row>
        <row r="142">
          <cell r="A142" t="str">
            <v>Switzerland</v>
          </cell>
          <cell r="B142">
            <v>47678</v>
          </cell>
        </row>
        <row r="143">
          <cell r="A143" t="str">
            <v>Syrian Arab Rep.</v>
          </cell>
          <cell r="B143">
            <v>437341</v>
          </cell>
        </row>
        <row r="144">
          <cell r="A144" t="str">
            <v>Tajikistan **</v>
          </cell>
          <cell r="B144">
            <v>3306</v>
          </cell>
        </row>
        <row r="145">
          <cell r="A145" t="str">
            <v>TfYR Macedonia</v>
          </cell>
          <cell r="B145">
            <v>1004</v>
          </cell>
        </row>
        <row r="146">
          <cell r="A146" t="str">
            <v>Thailand</v>
          </cell>
          <cell r="B146">
            <v>121139</v>
          </cell>
        </row>
        <row r="147">
          <cell r="A147" t="str">
            <v>Timor-Leste</v>
          </cell>
          <cell r="B147">
            <v>3</v>
          </cell>
        </row>
        <row r="148">
          <cell r="A148" t="str">
            <v>Togo</v>
          </cell>
          <cell r="B148">
            <v>11285</v>
          </cell>
        </row>
        <row r="149">
          <cell r="A149" t="str">
            <v>Tunisia</v>
          </cell>
          <cell r="B149">
            <v>90</v>
          </cell>
        </row>
        <row r="150">
          <cell r="A150" t="str">
            <v>Turkey</v>
          </cell>
          <cell r="B150">
            <v>3033</v>
          </cell>
        </row>
        <row r="151">
          <cell r="A151" t="str">
            <v>Turkmenistan</v>
          </cell>
          <cell r="B151">
            <v>13253</v>
          </cell>
        </row>
        <row r="152">
          <cell r="A152" t="str">
            <v>Uganda</v>
          </cell>
          <cell r="B152">
            <v>250482</v>
          </cell>
        </row>
        <row r="153">
          <cell r="A153" t="str">
            <v>Ukraine</v>
          </cell>
          <cell r="B153">
            <v>2459</v>
          </cell>
        </row>
        <row r="154">
          <cell r="A154" t="str">
            <v>United Arab Emirates</v>
          </cell>
          <cell r="B154">
            <v>105</v>
          </cell>
        </row>
        <row r="155">
          <cell r="A155" t="str">
            <v>United Kingdom</v>
          </cell>
          <cell r="B155">
            <v>289053.7269456638</v>
          </cell>
        </row>
        <row r="156">
          <cell r="A156" t="str">
            <v>United Rep. of Tanzania</v>
          </cell>
          <cell r="B156">
            <v>602088</v>
          </cell>
        </row>
        <row r="157">
          <cell r="A157" t="str">
            <v>United States</v>
          </cell>
          <cell r="B157">
            <v>420854.28571428586</v>
          </cell>
        </row>
        <row r="158">
          <cell r="A158" t="str">
            <v>Uruguay</v>
          </cell>
          <cell r="B158">
            <v>97</v>
          </cell>
        </row>
        <row r="159">
          <cell r="A159" t="str">
            <v>Uzbekistan</v>
          </cell>
          <cell r="B159">
            <v>44455</v>
          </cell>
        </row>
        <row r="160">
          <cell r="A160" t="str">
            <v>Venezuela</v>
          </cell>
          <cell r="B160">
            <v>244</v>
          </cell>
        </row>
        <row r="161">
          <cell r="A161" t="str">
            <v>Viet Nam</v>
          </cell>
          <cell r="B161">
            <v>2360</v>
          </cell>
        </row>
        <row r="162">
          <cell r="A162" t="str">
            <v>Yemen</v>
          </cell>
          <cell r="B162">
            <v>66384</v>
          </cell>
        </row>
        <row r="163">
          <cell r="A163" t="str">
            <v>Zambia</v>
          </cell>
          <cell r="B163">
            <v>173907</v>
          </cell>
        </row>
        <row r="164">
          <cell r="A164" t="str">
            <v>Zimbabwe</v>
          </cell>
          <cell r="B164">
            <v>6884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Data"/>
      <sheetName val="TableOrdered"/>
      <sheetName val="Index"/>
      <sheetName val="Sheet1"/>
      <sheetName val="LastTable"/>
      <sheetName val="ViewPolicy"/>
      <sheetName val="Instruments"/>
    </sheetNames>
    <sheetDataSet>
      <sheetData sheetId="0" refreshError="1"/>
      <sheetData sheetId="1">
        <row r="4">
          <cell r="A4" t="str">
            <v>Afghanistan</v>
          </cell>
          <cell r="B4">
            <v>4</v>
          </cell>
          <cell r="C4">
            <v>2005</v>
          </cell>
          <cell r="D4">
            <v>2005</v>
          </cell>
          <cell r="E4" t="str">
            <v>-</v>
          </cell>
          <cell r="F4" t="str">
            <v>-</v>
          </cell>
          <cell r="G4" t="str">
            <v>--</v>
          </cell>
          <cell r="H4" t="str">
            <v>--</v>
          </cell>
          <cell r="I4" t="str">
            <v>--</v>
          </cell>
          <cell r="J4" t="str">
            <v>Satisfactory</v>
          </cell>
          <cell r="K4" t="str">
            <v>Satisfactory</v>
          </cell>
          <cell r="L4" t="str">
            <v>Maintain</v>
          </cell>
          <cell r="M4" t="str">
            <v>Maintain</v>
          </cell>
          <cell r="N4" t="str">
            <v>Too high</v>
          </cell>
          <cell r="O4" t="str">
            <v>Too high</v>
          </cell>
          <cell r="P4" t="str">
            <v>Lower</v>
          </cell>
          <cell r="Q4" t="str">
            <v>Lower</v>
          </cell>
          <cell r="R4">
            <v>20669.205999999998</v>
          </cell>
          <cell r="S4">
            <v>29863.004999999997</v>
          </cell>
          <cell r="T4">
            <v>10670.112999999999</v>
          </cell>
          <cell r="U4">
            <v>15404.07</v>
          </cell>
          <cell r="V4">
            <v>9999.0930000000008</v>
          </cell>
          <cell r="W4">
            <v>14458.934999999999</v>
          </cell>
          <cell r="X4">
            <v>27.614999999999998</v>
          </cell>
          <cell r="Y4">
            <v>45.734999999999999</v>
          </cell>
          <cell r="Z4">
            <v>31.192</v>
          </cell>
          <cell r="AA4">
            <v>29.761999999999997</v>
          </cell>
          <cell r="AB4">
            <v>-397.12099999999998</v>
          </cell>
          <cell r="AC4">
            <v>2140.2339999999999</v>
          </cell>
          <cell r="AD4">
            <v>-3.577</v>
          </cell>
          <cell r="AE4">
            <v>15.973000000000001</v>
          </cell>
          <cell r="AF4">
            <v>-6.9408813596766432</v>
          </cell>
          <cell r="AG4">
            <v>32.368220544434436</v>
          </cell>
          <cell r="AH4">
            <v>97324.385999999999</v>
          </cell>
          <cell r="AI4">
            <v>95749.4</v>
          </cell>
        </row>
        <row r="5">
          <cell r="A5" t="str">
            <v>Albania</v>
          </cell>
          <cell r="B5">
            <v>8</v>
          </cell>
          <cell r="C5">
            <v>1992</v>
          </cell>
          <cell r="D5">
            <v>1992</v>
          </cell>
          <cell r="E5" t="str">
            <v>-</v>
          </cell>
          <cell r="F5" t="str">
            <v>-</v>
          </cell>
          <cell r="G5" t="str">
            <v>--</v>
          </cell>
          <cell r="H5">
            <v>2002</v>
          </cell>
          <cell r="I5">
            <v>2002</v>
          </cell>
          <cell r="J5" t="str">
            <v>Satisfactory</v>
          </cell>
          <cell r="K5" t="str">
            <v>Satisfactory</v>
          </cell>
          <cell r="L5" t="str">
            <v>Maintain</v>
          </cell>
          <cell r="M5" t="str">
            <v>Maintain</v>
          </cell>
          <cell r="N5" t="str">
            <v>Satisfactory</v>
          </cell>
          <cell r="O5" t="str">
            <v>Satisfactory</v>
          </cell>
          <cell r="P5" t="str">
            <v>No intervention</v>
          </cell>
          <cell r="Q5" t="str">
            <v>Maintain</v>
          </cell>
          <cell r="R5">
            <v>3226.9790000000003</v>
          </cell>
          <cell r="S5">
            <v>3016.3119999999999</v>
          </cell>
          <cell r="T5">
            <v>1578.711</v>
          </cell>
          <cell r="U5">
            <v>1551.694</v>
          </cell>
          <cell r="V5">
            <v>1554.354</v>
          </cell>
          <cell r="W5">
            <v>1577.9839999999999</v>
          </cell>
          <cell r="X5">
            <v>-4.6029999999999998</v>
          </cell>
          <cell r="Y5">
            <v>4.386000000000001</v>
          </cell>
          <cell r="Z5">
            <v>12.648999999999999</v>
          </cell>
          <cell r="AA5">
            <v>10.847000000000001</v>
          </cell>
          <cell r="AB5">
            <v>-267.19</v>
          </cell>
          <cell r="AC5">
            <v>-100</v>
          </cell>
          <cell r="AD5">
            <v>-17.251999999999999</v>
          </cell>
          <cell r="AE5">
            <v>-6.4610000000000003</v>
          </cell>
          <cell r="AF5">
            <v>-91.475856591164302</v>
          </cell>
          <cell r="AG5">
            <v>-37.505860290670419</v>
          </cell>
          <cell r="AH5">
            <v>3458.1010000000001</v>
          </cell>
          <cell r="AI5">
            <v>4124.1059999999998</v>
          </cell>
        </row>
        <row r="6">
          <cell r="A6" t="str">
            <v>Algeria</v>
          </cell>
          <cell r="B6">
            <v>12</v>
          </cell>
          <cell r="C6">
            <v>1963</v>
          </cell>
          <cell r="D6">
            <v>1967</v>
          </cell>
          <cell r="E6">
            <v>1962</v>
          </cell>
          <cell r="F6" t="str">
            <v>-</v>
          </cell>
          <cell r="G6">
            <v>2005</v>
          </cell>
          <cell r="H6">
            <v>2004</v>
          </cell>
          <cell r="I6">
            <v>2004</v>
          </cell>
          <cell r="J6" t="str">
            <v>Satisfactory</v>
          </cell>
          <cell r="K6" t="str">
            <v>Satisfactory</v>
          </cell>
          <cell r="L6" t="str">
            <v>Maintain</v>
          </cell>
          <cell r="M6" t="str">
            <v>Maintain</v>
          </cell>
          <cell r="N6" t="str">
            <v>Satisfactory</v>
          </cell>
          <cell r="O6" t="str">
            <v>Satisfactory</v>
          </cell>
          <cell r="P6" t="str">
            <v>Lower</v>
          </cell>
          <cell r="Q6" t="str">
            <v>No intervention</v>
          </cell>
          <cell r="R6">
            <v>7791.299</v>
          </cell>
          <cell r="S6">
            <v>8410.8009999999995</v>
          </cell>
          <cell r="T6">
            <v>14255.065000000001</v>
          </cell>
          <cell r="U6">
            <v>16576.662</v>
          </cell>
          <cell r="V6">
            <v>14015.715</v>
          </cell>
          <cell r="W6">
            <v>16277.136</v>
          </cell>
          <cell r="X6">
            <v>14.931000000000001</v>
          </cell>
          <cell r="Y6">
            <v>15.103</v>
          </cell>
          <cell r="Z6">
            <v>16.190000000000001</v>
          </cell>
          <cell r="AA6">
            <v>15.734999999999999</v>
          </cell>
          <cell r="AB6">
            <v>-184.875</v>
          </cell>
          <cell r="AC6">
            <v>-100</v>
          </cell>
          <cell r="AD6">
            <v>-1.2589999999999999</v>
          </cell>
          <cell r="AE6">
            <v>-0.63200000000000001</v>
          </cell>
          <cell r="AF6">
            <v>-5.8316418023440129</v>
          </cell>
          <cell r="AG6">
            <v>-3.0423960938068073</v>
          </cell>
          <cell r="AH6">
            <v>49500.14</v>
          </cell>
          <cell r="AI6">
            <v>50946.332999999999</v>
          </cell>
        </row>
        <row r="7">
          <cell r="A7" t="str">
            <v>American Samoa</v>
          </cell>
          <cell r="B7">
            <v>16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>
            <v>584.18700000000001</v>
          </cell>
          <cell r="S7">
            <v>726.61699999999996</v>
          </cell>
          <cell r="T7">
            <v>27.119</v>
          </cell>
          <cell r="U7">
            <v>33.020000000000003</v>
          </cell>
          <cell r="V7">
            <v>25.898</v>
          </cell>
          <cell r="W7">
            <v>31.849</v>
          </cell>
          <cell r="X7">
            <v>17.206</v>
          </cell>
          <cell r="Y7">
            <v>23.108999999999998</v>
          </cell>
          <cell r="Z7">
            <v>27.314</v>
          </cell>
          <cell r="AA7">
            <v>23.108999999999998</v>
          </cell>
          <cell r="AB7">
            <v>-2.8</v>
          </cell>
          <cell r="AC7">
            <v>0</v>
          </cell>
          <cell r="AD7">
            <v>-10.108000000000001</v>
          </cell>
          <cell r="AE7">
            <v>0</v>
          </cell>
          <cell r="AF7">
            <v>-31.82541486701523</v>
          </cell>
          <cell r="AG7">
            <v>0</v>
          </cell>
          <cell r="AH7">
            <v>119.199</v>
          </cell>
          <cell r="AI7">
            <v>119.199</v>
          </cell>
        </row>
        <row r="8">
          <cell r="A8" t="str">
            <v>Andorra</v>
          </cell>
          <cell r="B8">
            <v>20</v>
          </cell>
          <cell r="C8" t="str">
            <v>--</v>
          </cell>
          <cell r="D8" t="str">
            <v>--</v>
          </cell>
          <cell r="E8" t="str">
            <v>-</v>
          </cell>
          <cell r="F8" t="str">
            <v>-</v>
          </cell>
          <cell r="G8" t="str">
            <v>--</v>
          </cell>
          <cell r="H8" t="str">
            <v>--</v>
          </cell>
          <cell r="I8" t="str">
            <v>--</v>
          </cell>
          <cell r="J8" t="str">
            <v>Satisfactory</v>
          </cell>
          <cell r="K8" t="str">
            <v>Satisfactory</v>
          </cell>
          <cell r="L8" t="str">
            <v>Maintain</v>
          </cell>
          <cell r="M8" t="str">
            <v>Maintain</v>
          </cell>
          <cell r="N8" t="str">
            <v>Satisfactory</v>
          </cell>
          <cell r="O8" t="str">
            <v>Satisfactory</v>
          </cell>
          <cell r="P8" t="str">
            <v>Maintain</v>
          </cell>
          <cell r="Q8" t="str">
            <v>Maintain</v>
          </cell>
          <cell r="R8">
            <v>116454.61900000001</v>
          </cell>
          <cell r="S8">
            <v>141822.27600000001</v>
          </cell>
          <cell r="T8">
            <v>33.969000000000001</v>
          </cell>
          <cell r="U8">
            <v>34.655000000000001</v>
          </cell>
          <cell r="V8">
            <v>30.292000000000002</v>
          </cell>
          <cell r="W8">
            <v>32.496000000000002</v>
          </cell>
          <cell r="X8">
            <v>5.2290000000000001</v>
          </cell>
          <cell r="Y8">
            <v>3.57</v>
          </cell>
          <cell r="Z8">
            <v>4.2549999999999999</v>
          </cell>
          <cell r="AA8">
            <v>3.57</v>
          </cell>
          <cell r="AB8">
            <v>0.317</v>
          </cell>
          <cell r="AC8">
            <v>0</v>
          </cell>
          <cell r="AD8">
            <v>0.97399999999999998</v>
          </cell>
          <cell r="AE8">
            <v>0</v>
          </cell>
          <cell r="AF8">
            <v>8.6801752464403066</v>
          </cell>
          <cell r="AG8">
            <v>0</v>
          </cell>
          <cell r="AH8">
            <v>57.966999999999999</v>
          </cell>
          <cell r="AI8">
            <v>57.966999999999999</v>
          </cell>
        </row>
        <row r="9">
          <cell r="A9" t="str">
            <v>Angola</v>
          </cell>
          <cell r="B9">
            <v>24</v>
          </cell>
          <cell r="C9">
            <v>1981</v>
          </cell>
          <cell r="D9">
            <v>1981</v>
          </cell>
          <cell r="E9" t="str">
            <v>-</v>
          </cell>
          <cell r="F9" t="str">
            <v>-</v>
          </cell>
          <cell r="G9" t="str">
            <v>--</v>
          </cell>
          <cell r="H9" t="str">
            <v>--</v>
          </cell>
          <cell r="I9" t="str">
            <v>--</v>
          </cell>
          <cell r="J9" t="str">
            <v>Satisfactory</v>
          </cell>
          <cell r="K9" t="str">
            <v>Satisfactory</v>
          </cell>
          <cell r="L9" t="str">
            <v>No intervention</v>
          </cell>
          <cell r="M9" t="str">
            <v>No intervention</v>
          </cell>
          <cell r="N9" t="str">
            <v>Satisfactory</v>
          </cell>
          <cell r="O9" t="str">
            <v>Satisfactory</v>
          </cell>
          <cell r="P9" t="str">
            <v>No intervention</v>
          </cell>
          <cell r="Q9" t="str">
            <v>No intervention</v>
          </cell>
          <cell r="R9">
            <v>1732.9839999999999</v>
          </cell>
          <cell r="S9">
            <v>2162.5460000000003</v>
          </cell>
          <cell r="T9">
            <v>6046.6869999999999</v>
          </cell>
          <cell r="U9">
            <v>7860.5010000000002</v>
          </cell>
          <cell r="V9">
            <v>6233.02</v>
          </cell>
          <cell r="W9">
            <v>8080.8909999999996</v>
          </cell>
          <cell r="X9">
            <v>23.904</v>
          </cell>
          <cell r="Y9">
            <v>28.215</v>
          </cell>
          <cell r="Z9">
            <v>25.742999999999999</v>
          </cell>
          <cell r="AA9">
            <v>26.268000000000001</v>
          </cell>
          <cell r="AB9">
            <v>-120.09</v>
          </cell>
          <cell r="AC9">
            <v>145</v>
          </cell>
          <cell r="AD9">
            <v>-1.839</v>
          </cell>
          <cell r="AE9">
            <v>1.9470000000000001</v>
          </cell>
          <cell r="AF9">
            <v>-3.7629053176065677</v>
          </cell>
          <cell r="AG9">
            <v>4.0119572928529612</v>
          </cell>
          <cell r="AH9">
            <v>43501.262999999999</v>
          </cell>
          <cell r="AI9">
            <v>43125.154000000002</v>
          </cell>
        </row>
        <row r="10">
          <cell r="A10" t="str">
            <v>Anguilla</v>
          </cell>
          <cell r="B10">
            <v>660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>
            <v>294.97500000000002</v>
          </cell>
          <cell r="S10">
            <v>373.81900000000002</v>
          </cell>
          <cell r="T10">
            <v>5.1390000000000002</v>
          </cell>
          <cell r="U10">
            <v>6.0880000000000001</v>
          </cell>
          <cell r="V10">
            <v>5.1740000000000004</v>
          </cell>
          <cell r="W10">
            <v>6.117</v>
          </cell>
          <cell r="X10">
            <v>17.079999999999998</v>
          </cell>
          <cell r="Y10">
            <v>16.588000000000001</v>
          </cell>
          <cell r="Z10">
            <v>13.553000000000001</v>
          </cell>
          <cell r="AA10">
            <v>14.148</v>
          </cell>
          <cell r="AB10">
            <v>0.19</v>
          </cell>
          <cell r="AC10">
            <v>0.14299999999999999</v>
          </cell>
          <cell r="AD10">
            <v>3.5270000000000001</v>
          </cell>
          <cell r="AE10">
            <v>2.44</v>
          </cell>
          <cell r="AF10">
            <v>19.250253292806484</v>
          </cell>
          <cell r="AG10">
            <v>12.882882882882882</v>
          </cell>
          <cell r="AH10">
            <v>17.346</v>
          </cell>
          <cell r="AI10">
            <v>17.346</v>
          </cell>
        </row>
        <row r="11">
          <cell r="A11" t="str">
            <v>Antigua and Barbuda</v>
          </cell>
          <cell r="B11">
            <v>28</v>
          </cell>
          <cell r="C11">
            <v>1995</v>
          </cell>
          <cell r="D11">
            <v>1995</v>
          </cell>
          <cell r="E11" t="str">
            <v>-</v>
          </cell>
          <cell r="F11" t="str">
            <v>-</v>
          </cell>
          <cell r="G11" t="str">
            <v>--</v>
          </cell>
          <cell r="H11" t="str">
            <v>--</v>
          </cell>
          <cell r="I11" t="str">
            <v>--</v>
          </cell>
          <cell r="J11" t="str">
            <v>Satisfactory</v>
          </cell>
          <cell r="K11" t="str">
            <v>Satisfactory</v>
          </cell>
          <cell r="L11" t="str">
            <v>Maintain</v>
          </cell>
          <cell r="M11" t="str">
            <v>Maintain</v>
          </cell>
          <cell r="N11" t="str">
            <v>Satisfactory</v>
          </cell>
          <cell r="O11" t="str">
            <v>Too high</v>
          </cell>
          <cell r="P11" t="str">
            <v>Lower</v>
          </cell>
          <cell r="Q11" t="str">
            <v>No intervention</v>
          </cell>
          <cell r="R11">
            <v>11367.785</v>
          </cell>
          <cell r="S11">
            <v>14071.013999999999</v>
          </cell>
          <cell r="T11">
            <v>34.012999999999998</v>
          </cell>
          <cell r="U11">
            <v>40.03</v>
          </cell>
          <cell r="V11">
            <v>35.594000000000001</v>
          </cell>
          <cell r="W11">
            <v>41.454999999999998</v>
          </cell>
          <cell r="X11">
            <v>18.884</v>
          </cell>
          <cell r="Y11">
            <v>12.609000000000002</v>
          </cell>
          <cell r="Z11">
            <v>12.587</v>
          </cell>
          <cell r="AA11">
            <v>12.609000000000002</v>
          </cell>
          <cell r="AB11">
            <v>2.2999999999999998</v>
          </cell>
          <cell r="AC11">
            <v>0</v>
          </cell>
          <cell r="AD11">
            <v>6.2969999999999997</v>
          </cell>
          <cell r="AE11">
            <v>0</v>
          </cell>
          <cell r="AF11">
            <v>32.136369987424892</v>
          </cell>
          <cell r="AG11">
            <v>0</v>
          </cell>
          <cell r="AH11">
            <v>112.309</v>
          </cell>
          <cell r="AI11">
            <v>112.309</v>
          </cell>
        </row>
        <row r="12">
          <cell r="A12" t="str">
            <v>Argentina</v>
          </cell>
          <cell r="B12">
            <v>32</v>
          </cell>
          <cell r="C12">
            <v>1961</v>
          </cell>
          <cell r="D12">
            <v>1967</v>
          </cell>
          <cell r="E12" t="str">
            <v>-</v>
          </cell>
          <cell r="F12" t="str">
            <v>-</v>
          </cell>
          <cell r="G12" t="str">
            <v>--</v>
          </cell>
          <cell r="H12">
            <v>2002</v>
          </cell>
          <cell r="I12">
            <v>2002</v>
          </cell>
          <cell r="J12" t="str">
            <v>Satisfactory</v>
          </cell>
          <cell r="K12" t="str">
            <v>Satisfactory</v>
          </cell>
          <cell r="L12" t="str">
            <v>Maintain</v>
          </cell>
          <cell r="M12" t="str">
            <v>Maintain</v>
          </cell>
          <cell r="N12" t="str">
            <v>Satisfactory</v>
          </cell>
          <cell r="O12" t="str">
            <v>Too high</v>
          </cell>
          <cell r="P12" t="str">
            <v>No intervention</v>
          </cell>
          <cell r="Q12" t="str">
            <v>Lower</v>
          </cell>
          <cell r="R12">
            <v>1219331.429</v>
          </cell>
          <cell r="S12">
            <v>1315843.544</v>
          </cell>
          <cell r="T12">
            <v>17086.084999999999</v>
          </cell>
          <cell r="U12">
            <v>18948.512999999999</v>
          </cell>
          <cell r="V12">
            <v>17748.816999999999</v>
          </cell>
          <cell r="W12">
            <v>19798.634999999998</v>
          </cell>
          <cell r="X12">
            <v>11.492000000000001</v>
          </cell>
          <cell r="Y12">
            <v>9.7899999999999991</v>
          </cell>
          <cell r="Z12">
            <v>12.05</v>
          </cell>
          <cell r="AA12">
            <v>10.319000000000001</v>
          </cell>
          <cell r="AB12">
            <v>-100</v>
          </cell>
          <cell r="AC12">
            <v>-100</v>
          </cell>
          <cell r="AD12">
            <v>-0.55800000000000005</v>
          </cell>
          <cell r="AE12">
            <v>-0.52900000000000003</v>
          </cell>
          <cell r="AF12">
            <v>-2.8269590119212862</v>
          </cell>
          <cell r="AG12">
            <v>-2.9353756502957831</v>
          </cell>
          <cell r="AH12">
            <v>51382.418999999994</v>
          </cell>
          <cell r="AI12">
            <v>50974.423999999999</v>
          </cell>
        </row>
        <row r="13">
          <cell r="A13" t="str">
            <v>Armenia</v>
          </cell>
          <cell r="B13">
            <v>51</v>
          </cell>
          <cell r="C13">
            <v>1993</v>
          </cell>
          <cell r="D13">
            <v>1993</v>
          </cell>
          <cell r="E13" t="str">
            <v>-</v>
          </cell>
          <cell r="F13" t="str">
            <v>-</v>
          </cell>
          <cell r="G13" t="str">
            <v>--</v>
          </cell>
          <cell r="H13">
            <v>2003</v>
          </cell>
          <cell r="I13">
            <v>2003</v>
          </cell>
          <cell r="J13" t="str">
            <v>Satisfactory</v>
          </cell>
          <cell r="K13" t="str">
            <v>Too low</v>
          </cell>
          <cell r="L13" t="str">
            <v>No intervention</v>
          </cell>
          <cell r="M13" t="str">
            <v>Raise</v>
          </cell>
          <cell r="N13" t="str">
            <v>Too high</v>
          </cell>
          <cell r="O13" t="str">
            <v>Too high</v>
          </cell>
          <cell r="P13" t="str">
            <v>Lower</v>
          </cell>
          <cell r="Q13" t="str">
            <v>Lower</v>
          </cell>
          <cell r="R13">
            <v>6186.5389999999998</v>
          </cell>
          <cell r="S13">
            <v>7040.8850000000002</v>
          </cell>
          <cell r="T13">
            <v>1531.577</v>
          </cell>
          <cell r="U13">
            <v>1405.885</v>
          </cell>
          <cell r="V13">
            <v>1695.402</v>
          </cell>
          <cell r="W13">
            <v>1610.4269999999999</v>
          </cell>
          <cell r="X13">
            <v>-9.1920000000000002</v>
          </cell>
          <cell r="Y13">
            <v>-4.3080000000000007</v>
          </cell>
          <cell r="Z13">
            <v>5.0730000000000004</v>
          </cell>
          <cell r="AA13">
            <v>2.2509999999999994</v>
          </cell>
          <cell r="AB13">
            <v>-225</v>
          </cell>
          <cell r="AC13">
            <v>-100</v>
          </cell>
          <cell r="AD13">
            <v>-14.265000000000001</v>
          </cell>
          <cell r="AE13">
            <v>-6.5590000000000002</v>
          </cell>
          <cell r="AF13">
            <v>-105.6908659604951</v>
          </cell>
          <cell r="AG13">
            <v>-59.091526865962685</v>
          </cell>
          <cell r="AH13">
            <v>2505.9699999999998</v>
          </cell>
          <cell r="AI13">
            <v>2953.038</v>
          </cell>
        </row>
        <row r="14">
          <cell r="A14" t="str">
            <v>Aruba</v>
          </cell>
          <cell r="B14">
            <v>533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>
            <v>412.83199999999999</v>
          </cell>
          <cell r="S14">
            <v>460.16200000000003</v>
          </cell>
          <cell r="T14">
            <v>41.981999999999999</v>
          </cell>
          <cell r="U14">
            <v>47.006</v>
          </cell>
          <cell r="V14">
            <v>42.311</v>
          </cell>
          <cell r="W14">
            <v>52.462000000000003</v>
          </cell>
          <cell r="X14">
            <v>17.692</v>
          </cell>
          <cell r="Y14">
            <v>15.396000000000001</v>
          </cell>
          <cell r="Z14">
            <v>11.762</v>
          </cell>
          <cell r="AA14">
            <v>9.9359999999999999</v>
          </cell>
          <cell r="AB14">
            <v>2.6150000000000002</v>
          </cell>
          <cell r="AC14">
            <v>2.6150000000000002</v>
          </cell>
          <cell r="AD14">
            <v>5.93</v>
          </cell>
          <cell r="AE14">
            <v>5.46</v>
          </cell>
          <cell r="AF14">
            <v>33.685430890119797</v>
          </cell>
          <cell r="AG14">
            <v>34.403367977897645</v>
          </cell>
          <cell r="AH14">
            <v>109.792</v>
          </cell>
          <cell r="AI14">
            <v>109.792</v>
          </cell>
        </row>
        <row r="15">
          <cell r="A15" t="str">
            <v>Australia</v>
          </cell>
          <cell r="B15">
            <v>36</v>
          </cell>
          <cell r="C15">
            <v>1954</v>
          </cell>
          <cell r="D15">
            <v>1973</v>
          </cell>
          <cell r="E15" t="str">
            <v>-</v>
          </cell>
          <cell r="F15" t="str">
            <v>-</v>
          </cell>
          <cell r="G15" t="str">
            <v>--</v>
          </cell>
          <cell r="H15">
            <v>2005</v>
          </cell>
          <cell r="I15">
            <v>2004</v>
          </cell>
          <cell r="J15" t="str">
            <v>Satisfactory</v>
          </cell>
          <cell r="K15" t="str">
            <v>Too low</v>
          </cell>
          <cell r="L15" t="str">
            <v>Maintain</v>
          </cell>
          <cell r="M15" t="str">
            <v>Raise</v>
          </cell>
          <cell r="N15" t="str">
            <v>Satisfactory</v>
          </cell>
          <cell r="O15" t="str">
            <v>Satisfactory</v>
          </cell>
          <cell r="P15" t="str">
            <v>No intervention</v>
          </cell>
          <cell r="Q15" t="str">
            <v>No intervention</v>
          </cell>
          <cell r="R15">
            <v>731.01600000000008</v>
          </cell>
          <cell r="S15">
            <v>835.30700000000002</v>
          </cell>
          <cell r="T15">
            <v>8868.3770000000004</v>
          </cell>
          <cell r="U15">
            <v>9952.68</v>
          </cell>
          <cell r="V15">
            <v>9072.3320000000003</v>
          </cell>
          <cell r="W15">
            <v>10202.449000000001</v>
          </cell>
          <cell r="X15">
            <v>12.221</v>
          </cell>
          <cell r="Y15">
            <v>11.050999999999998</v>
          </cell>
          <cell r="Z15">
            <v>6.7109999999999994</v>
          </cell>
          <cell r="AA15">
            <v>5.9519999999999991</v>
          </cell>
          <cell r="AB15">
            <v>509.8</v>
          </cell>
          <cell r="AC15">
            <v>500</v>
          </cell>
          <cell r="AD15">
            <v>5.51</v>
          </cell>
          <cell r="AE15">
            <v>5.0990000000000002</v>
          </cell>
          <cell r="AF15">
            <v>40.769779500910083</v>
          </cell>
          <cell r="AG15">
            <v>40.187724900555473</v>
          </cell>
          <cell r="AH15">
            <v>27939.607</v>
          </cell>
          <cell r="AI15">
            <v>21606.665000000001</v>
          </cell>
        </row>
        <row r="16">
          <cell r="A16" t="str">
            <v>Austria</v>
          </cell>
          <cell r="B16">
            <v>40</v>
          </cell>
          <cell r="C16">
            <v>1954</v>
          </cell>
          <cell r="D16">
            <v>1973</v>
          </cell>
          <cell r="E16" t="str">
            <v>-</v>
          </cell>
          <cell r="F16" t="str">
            <v>-</v>
          </cell>
          <cell r="G16" t="str">
            <v>--</v>
          </cell>
          <cell r="H16">
            <v>2005</v>
          </cell>
          <cell r="I16" t="str">
            <v>--</v>
          </cell>
          <cell r="J16" t="str">
            <v>Too high</v>
          </cell>
          <cell r="K16" t="str">
            <v>Satisfactory</v>
          </cell>
          <cell r="L16" t="str">
            <v>Lower</v>
          </cell>
          <cell r="M16" t="str">
            <v>Maintain</v>
          </cell>
          <cell r="N16" t="str">
            <v>Satisfactory</v>
          </cell>
          <cell r="O16" t="str">
            <v>Satisfactory</v>
          </cell>
          <cell r="P16" t="str">
            <v>No intervention</v>
          </cell>
          <cell r="Q16" t="str">
            <v>No intervention</v>
          </cell>
          <cell r="R16">
            <v>20918.396000000001</v>
          </cell>
          <cell r="S16">
            <v>22487.661</v>
          </cell>
          <cell r="T16">
            <v>3902.3339999999998</v>
          </cell>
          <cell r="U16">
            <v>4003.4250000000002</v>
          </cell>
          <cell r="V16">
            <v>4144.201</v>
          </cell>
          <cell r="W16">
            <v>4186.0190000000002</v>
          </cell>
          <cell r="X16">
            <v>1.2309999999999997</v>
          </cell>
          <cell r="Y16">
            <v>2.2889999999999984</v>
          </cell>
          <cell r="Z16">
            <v>0.11599999999999966</v>
          </cell>
          <cell r="AA16">
            <v>-0.16700000000000159</v>
          </cell>
          <cell r="AB16">
            <v>45</v>
          </cell>
          <cell r="AC16">
            <v>100</v>
          </cell>
          <cell r="AD16">
            <v>1.115</v>
          </cell>
          <cell r="AE16">
            <v>2.456</v>
          </cell>
          <cell r="AF16">
            <v>11.005916291446447</v>
          </cell>
          <cell r="AG16">
            <v>26.033870064954506</v>
          </cell>
          <cell r="AH16">
            <v>8073.0219999999999</v>
          </cell>
          <cell r="AI16">
            <v>6981.6289999999999</v>
          </cell>
        </row>
        <row r="17">
          <cell r="A17" t="str">
            <v>Azerbaijan</v>
          </cell>
          <cell r="B17">
            <v>31</v>
          </cell>
          <cell r="C17">
            <v>1993</v>
          </cell>
          <cell r="D17">
            <v>1993</v>
          </cell>
          <cell r="E17" t="str">
            <v>-</v>
          </cell>
          <cell r="F17" t="str">
            <v>-</v>
          </cell>
          <cell r="G17">
            <v>1999</v>
          </cell>
          <cell r="H17">
            <v>2003</v>
          </cell>
          <cell r="I17">
            <v>2003</v>
          </cell>
          <cell r="J17" t="str">
            <v>Satisfactory</v>
          </cell>
          <cell r="K17" t="str">
            <v>Satisfactory</v>
          </cell>
          <cell r="L17" t="str">
            <v>Maintain</v>
          </cell>
          <cell r="M17" t="str">
            <v>Maintain</v>
          </cell>
          <cell r="N17" t="str">
            <v>Satisfactory</v>
          </cell>
          <cell r="O17" t="str">
            <v>Satisfactory</v>
          </cell>
          <cell r="P17" t="str">
            <v>No intervention</v>
          </cell>
          <cell r="Q17" t="str">
            <v>Lower</v>
          </cell>
          <cell r="R17">
            <v>847.58600000000001</v>
          </cell>
          <cell r="S17">
            <v>947.06400000000008</v>
          </cell>
          <cell r="T17">
            <v>3815</v>
          </cell>
          <cell r="U17">
            <v>4082.62</v>
          </cell>
          <cell r="V17">
            <v>3976.299</v>
          </cell>
          <cell r="W17">
            <v>4328.1809999999996</v>
          </cell>
          <cell r="X17">
            <v>8.8310000000000013</v>
          </cell>
          <cell r="Y17">
            <v>6.4689999999999994</v>
          </cell>
          <cell r="Z17">
            <v>12.032000000000002</v>
          </cell>
          <cell r="AA17">
            <v>8.8849999999999998</v>
          </cell>
          <cell r="AB17">
            <v>-127.51</v>
          </cell>
          <cell r="AC17">
            <v>-100</v>
          </cell>
          <cell r="AD17">
            <v>-3.2010000000000001</v>
          </cell>
          <cell r="AE17">
            <v>-2.4159999999999999</v>
          </cell>
          <cell r="AF17">
            <v>-16.948994837275823</v>
          </cell>
          <cell r="AG17">
            <v>-15.255553402827463</v>
          </cell>
          <cell r="AH17">
            <v>9630.5959999999995</v>
          </cell>
          <cell r="AI17">
            <v>10108.833999999999</v>
          </cell>
        </row>
        <row r="18">
          <cell r="A18" t="str">
            <v>Bahamas</v>
          </cell>
          <cell r="B18">
            <v>44</v>
          </cell>
          <cell r="C18">
            <v>1993</v>
          </cell>
          <cell r="D18">
            <v>1993</v>
          </cell>
          <cell r="E18">
            <v>1976</v>
          </cell>
          <cell r="F18" t="str">
            <v>-</v>
          </cell>
          <cell r="G18" t="str">
            <v>--</v>
          </cell>
          <cell r="H18" t="str">
            <v>--</v>
          </cell>
          <cell r="I18" t="str">
            <v>--</v>
          </cell>
          <cell r="J18" t="str">
            <v>Too high</v>
          </cell>
          <cell r="K18" t="str">
            <v>Too high</v>
          </cell>
          <cell r="L18" t="str">
            <v>Lower</v>
          </cell>
          <cell r="M18" t="str">
            <v>Lower</v>
          </cell>
          <cell r="N18" t="str">
            <v>Satisfactory</v>
          </cell>
          <cell r="O18" t="str">
            <v>Satisfactory</v>
          </cell>
          <cell r="P18" t="str">
            <v>No intervention</v>
          </cell>
          <cell r="Q18" t="str">
            <v>No intervention</v>
          </cell>
          <cell r="R18">
            <v>5032.5650000000005</v>
          </cell>
          <cell r="S18">
            <v>4474.4040000000005</v>
          </cell>
          <cell r="T18">
            <v>137.21600000000001</v>
          </cell>
          <cell r="U18">
            <v>157.286</v>
          </cell>
          <cell r="V18">
            <v>141.90100000000001</v>
          </cell>
          <cell r="W18">
            <v>165.77699999999999</v>
          </cell>
          <cell r="X18">
            <v>15.38</v>
          </cell>
          <cell r="Y18">
            <v>13.851000000000001</v>
          </cell>
          <cell r="Z18">
            <v>14.001999999999999</v>
          </cell>
          <cell r="AA18">
            <v>12.57</v>
          </cell>
          <cell r="AB18">
            <v>2</v>
          </cell>
          <cell r="AC18">
            <v>2</v>
          </cell>
          <cell r="AD18">
            <v>1.3779999999999999</v>
          </cell>
          <cell r="AE18">
            <v>1.2809999999999999</v>
          </cell>
          <cell r="AF18">
            <v>6.4480768610761841</v>
          </cell>
          <cell r="AG18">
            <v>6.4785721227041559</v>
          </cell>
          <cell r="AH18">
            <v>465.81700000000001</v>
          </cell>
          <cell r="AI18">
            <v>439.87400000000002</v>
          </cell>
        </row>
        <row r="19">
          <cell r="A19" t="str">
            <v>Bahrain</v>
          </cell>
          <cell r="B19">
            <v>48</v>
          </cell>
          <cell r="C19" t="str">
            <v>--</v>
          </cell>
          <cell r="D19" t="str">
            <v>--</v>
          </cell>
          <cell r="E19" t="str">
            <v>-</v>
          </cell>
          <cell r="F19" t="str">
            <v>-</v>
          </cell>
          <cell r="G19" t="str">
            <v>--</v>
          </cell>
          <cell r="H19">
            <v>2004</v>
          </cell>
          <cell r="I19">
            <v>2004</v>
          </cell>
          <cell r="J19" t="str">
            <v>Satisfactory</v>
          </cell>
          <cell r="K19" t="str">
            <v>Satisfactory</v>
          </cell>
          <cell r="L19" t="str">
            <v>No intervention</v>
          </cell>
          <cell r="M19" t="str">
            <v>Maintain</v>
          </cell>
          <cell r="N19" t="str">
            <v>Satisfactory</v>
          </cell>
          <cell r="O19" t="str">
            <v>Satisfactory</v>
          </cell>
          <cell r="P19" t="str">
            <v>No intervention</v>
          </cell>
          <cell r="Q19" t="str">
            <v>No intervention</v>
          </cell>
          <cell r="R19">
            <v>935572.04500000004</v>
          </cell>
          <cell r="S19">
            <v>1103370.8020000001</v>
          </cell>
          <cell r="T19">
            <v>337.41500000000002</v>
          </cell>
          <cell r="U19">
            <v>413.86200000000002</v>
          </cell>
          <cell r="V19">
            <v>246.77199999999999</v>
          </cell>
          <cell r="W19">
            <v>312.755</v>
          </cell>
          <cell r="X19">
            <v>27.963999999999999</v>
          </cell>
          <cell r="Y19">
            <v>15.617999999999999</v>
          </cell>
          <cell r="Z19">
            <v>18.410999999999998</v>
          </cell>
          <cell r="AA19">
            <v>15.617999999999999</v>
          </cell>
          <cell r="AB19">
            <v>30</v>
          </cell>
          <cell r="AC19">
            <v>0</v>
          </cell>
          <cell r="AD19">
            <v>9.5530000000000008</v>
          </cell>
          <cell r="AE19">
            <v>0</v>
          </cell>
          <cell r="AF19">
            <v>44.163759219184733</v>
          </cell>
          <cell r="AG19">
            <v>0</v>
          </cell>
          <cell r="AH19">
            <v>1154.9279999999999</v>
          </cell>
          <cell r="AI19">
            <v>937.84500000000003</v>
          </cell>
        </row>
        <row r="20">
          <cell r="A20" t="str">
            <v>Bangladesh</v>
          </cell>
          <cell r="B20">
            <v>50</v>
          </cell>
          <cell r="C20" t="str">
            <v>--</v>
          </cell>
          <cell r="D20" t="str">
            <v>--</v>
          </cell>
          <cell r="E20" t="str">
            <v>-</v>
          </cell>
          <cell r="F20" t="str">
            <v>-</v>
          </cell>
          <cell r="G20" t="str">
            <v>--</v>
          </cell>
          <cell r="H20" t="str">
            <v>--</v>
          </cell>
          <cell r="I20" t="str">
            <v>--</v>
          </cell>
          <cell r="J20" t="str">
            <v>Satisfactory</v>
          </cell>
          <cell r="K20" t="str">
            <v>Satisfactory</v>
          </cell>
          <cell r="L20" t="str">
            <v>Lower</v>
          </cell>
          <cell r="M20" t="str">
            <v>Lower</v>
          </cell>
          <cell r="N20" t="str">
            <v>Satisfactory</v>
          </cell>
          <cell r="O20" t="str">
            <v>Too low</v>
          </cell>
          <cell r="P20" t="str">
            <v>No intervention</v>
          </cell>
          <cell r="Q20" t="str">
            <v>Raise</v>
          </cell>
          <cell r="R20">
            <v>195649.386</v>
          </cell>
          <cell r="S20">
            <v>222781.48699999999</v>
          </cell>
          <cell r="T20">
            <v>59800.161</v>
          </cell>
          <cell r="U20">
            <v>72459.035000000003</v>
          </cell>
          <cell r="V20">
            <v>56654.457999999999</v>
          </cell>
          <cell r="W20">
            <v>69363.240999999995</v>
          </cell>
          <cell r="X20">
            <v>20.315000000000001</v>
          </cell>
          <cell r="Y20">
            <v>19.068999999999999</v>
          </cell>
          <cell r="Z20">
            <v>20.803999999999998</v>
          </cell>
          <cell r="AA20">
            <v>19.585999999999999</v>
          </cell>
          <cell r="AB20">
            <v>-300</v>
          </cell>
          <cell r="AC20">
            <v>-350</v>
          </cell>
          <cell r="AD20">
            <v>-0.48899999999999999</v>
          </cell>
          <cell r="AE20">
            <v>-0.51700000000000002</v>
          </cell>
          <cell r="AF20">
            <v>-1.63566250219724</v>
          </cell>
          <cell r="AG20">
            <v>-1.8769330399311606</v>
          </cell>
          <cell r="AH20">
            <v>242937.28399999999</v>
          </cell>
          <cell r="AI20">
            <v>245802.144</v>
          </cell>
        </row>
        <row r="21">
          <cell r="A21" t="str">
            <v>Barbados</v>
          </cell>
          <cell r="B21">
            <v>52</v>
          </cell>
          <cell r="C21" t="str">
            <v>--</v>
          </cell>
          <cell r="D21" t="str">
            <v>--</v>
          </cell>
          <cell r="E21">
            <v>1967</v>
          </cell>
          <cell r="F21" t="str">
            <v>-</v>
          </cell>
          <cell r="G21" t="str">
            <v>--</v>
          </cell>
          <cell r="H21" t="str">
            <v>--</v>
          </cell>
          <cell r="I21" t="str">
            <v>--</v>
          </cell>
          <cell r="J21" t="str">
            <v>Satisfactory</v>
          </cell>
          <cell r="K21" t="str">
            <v>Satisfactory</v>
          </cell>
          <cell r="L21" t="str">
            <v>Lower</v>
          </cell>
          <cell r="M21" t="str">
            <v>Maintain</v>
          </cell>
          <cell r="N21" t="str">
            <v>Satisfactory</v>
          </cell>
          <cell r="O21" t="str">
            <v>Satisfactory</v>
          </cell>
          <cell r="P21" t="str">
            <v>No intervention</v>
          </cell>
          <cell r="Q21" t="str">
            <v>No intervention</v>
          </cell>
          <cell r="R21">
            <v>62323.938000000002</v>
          </cell>
          <cell r="S21">
            <v>69515.206000000006</v>
          </cell>
          <cell r="T21">
            <v>126.205</v>
          </cell>
          <cell r="U21">
            <v>130.31899999999999</v>
          </cell>
          <cell r="V21">
            <v>135.846</v>
          </cell>
          <cell r="W21">
            <v>139.23699999999999</v>
          </cell>
          <cell r="X21">
            <v>3.0579999999999998</v>
          </cell>
          <cell r="Y21">
            <v>2.59</v>
          </cell>
          <cell r="Z21">
            <v>4.0049999999999999</v>
          </cell>
          <cell r="AA21">
            <v>3.5229999999999997</v>
          </cell>
          <cell r="AB21">
            <v>-1.25</v>
          </cell>
          <cell r="AC21">
            <v>-1.25</v>
          </cell>
          <cell r="AD21">
            <v>-0.94699999999999995</v>
          </cell>
          <cell r="AE21">
            <v>-0.93300000000000005</v>
          </cell>
          <cell r="AF21">
            <v>-7.2967135602124795</v>
          </cell>
          <cell r="AG21">
            <v>-7.6214864947259322</v>
          </cell>
          <cell r="AH21">
            <v>255.262</v>
          </cell>
          <cell r="AI21">
            <v>269.81799999999998</v>
          </cell>
        </row>
        <row r="22">
          <cell r="A22" t="str">
            <v>Belarus</v>
          </cell>
          <cell r="B22">
            <v>112</v>
          </cell>
          <cell r="C22">
            <v>2001</v>
          </cell>
          <cell r="D22">
            <v>2001</v>
          </cell>
          <cell r="E22" t="str">
            <v>-</v>
          </cell>
          <cell r="F22" t="str">
            <v>-</v>
          </cell>
          <cell r="G22" t="str">
            <v>--</v>
          </cell>
          <cell r="H22">
            <v>2003</v>
          </cell>
          <cell r="I22">
            <v>2003</v>
          </cell>
          <cell r="J22" t="str">
            <v>Satisfactory</v>
          </cell>
          <cell r="K22" t="str">
            <v>Satisfactory</v>
          </cell>
          <cell r="L22" t="str">
            <v>Maintain</v>
          </cell>
          <cell r="M22" t="str">
            <v>Maintain</v>
          </cell>
          <cell r="N22" t="str">
            <v>Satisfactory</v>
          </cell>
          <cell r="O22" t="str">
            <v>Satisfactory</v>
          </cell>
          <cell r="P22" t="str">
            <v>Lower</v>
          </cell>
          <cell r="Q22" t="str">
            <v>Lower</v>
          </cell>
          <cell r="R22">
            <v>21631.871999999999</v>
          </cell>
          <cell r="S22">
            <v>28807.19</v>
          </cell>
          <cell r="T22">
            <v>4816.0190000000002</v>
          </cell>
          <cell r="U22">
            <v>4558.6049999999996</v>
          </cell>
          <cell r="V22">
            <v>5432.7569999999996</v>
          </cell>
          <cell r="W22">
            <v>5196.5010000000002</v>
          </cell>
          <cell r="X22">
            <v>-4.3419999999999996</v>
          </cell>
          <cell r="Y22">
            <v>-5.5309999999999988</v>
          </cell>
          <cell r="Z22">
            <v>-4.625</v>
          </cell>
          <cell r="AA22">
            <v>-5.3289999999999988</v>
          </cell>
          <cell r="AB22">
            <v>14.337999999999999</v>
          </cell>
          <cell r="AC22">
            <v>-10</v>
          </cell>
          <cell r="AD22">
            <v>0.28299999999999997</v>
          </cell>
          <cell r="AE22">
            <v>-0.20200000000000001</v>
          </cell>
          <cell r="AF22">
            <v>3.1074450377973504</v>
          </cell>
          <cell r="AG22">
            <v>-2.2058499139718535</v>
          </cell>
          <cell r="AH22">
            <v>7017.0169999999998</v>
          </cell>
          <cell r="AI22">
            <v>7126.357</v>
          </cell>
        </row>
        <row r="23">
          <cell r="A23" t="str">
            <v>Belgium</v>
          </cell>
          <cell r="B23">
            <v>56</v>
          </cell>
          <cell r="C23">
            <v>1953</v>
          </cell>
          <cell r="D23">
            <v>1969</v>
          </cell>
          <cell r="E23">
            <v>1953</v>
          </cell>
          <cell r="F23" t="str">
            <v>-</v>
          </cell>
          <cell r="G23" t="str">
            <v>--</v>
          </cell>
          <cell r="H23">
            <v>2004</v>
          </cell>
          <cell r="I23">
            <v>2004</v>
          </cell>
          <cell r="J23" t="str">
            <v>Too high</v>
          </cell>
          <cell r="K23" t="str">
            <v>Satisfactory</v>
          </cell>
          <cell r="L23" t="str">
            <v>Lower</v>
          </cell>
          <cell r="M23" t="str">
            <v>Maintain</v>
          </cell>
          <cell r="N23" t="str">
            <v>Satisfactory</v>
          </cell>
          <cell r="O23" t="str">
            <v>Satisfactory</v>
          </cell>
          <cell r="P23" t="str">
            <v>No intervention</v>
          </cell>
          <cell r="Q23" t="str">
            <v>No intervention</v>
          </cell>
          <cell r="R23">
            <v>5373.8989999999994</v>
          </cell>
          <cell r="S23">
            <v>6724.5640000000003</v>
          </cell>
          <cell r="T23">
            <v>4956.7280000000001</v>
          </cell>
          <cell r="U23">
            <v>5112.3419999999996</v>
          </cell>
          <cell r="V23">
            <v>5180.0829999999996</v>
          </cell>
          <cell r="W23">
            <v>5306.7070000000003</v>
          </cell>
          <cell r="X23">
            <v>3.2689999999999992</v>
          </cell>
          <cell r="Y23">
            <v>2.2229999999999999</v>
          </cell>
          <cell r="Z23">
            <v>1.3279999999999994</v>
          </cell>
          <cell r="AA23">
            <v>0.93</v>
          </cell>
          <cell r="AB23">
            <v>99.2</v>
          </cell>
          <cell r="AC23">
            <v>67</v>
          </cell>
          <cell r="AD23">
            <v>1.9410000000000001</v>
          </cell>
          <cell r="AE23">
            <v>1.2929999999999999</v>
          </cell>
          <cell r="AF23">
            <v>17.317710151809283</v>
          </cell>
          <cell r="AG23">
            <v>11.875810922910034</v>
          </cell>
          <cell r="AH23">
            <v>10301.715</v>
          </cell>
          <cell r="AI23">
            <v>9422.5139999999992</v>
          </cell>
        </row>
        <row r="24">
          <cell r="A24" t="str">
            <v>Belize</v>
          </cell>
          <cell r="B24">
            <v>84</v>
          </cell>
          <cell r="C24">
            <v>1990</v>
          </cell>
          <cell r="D24">
            <v>1990</v>
          </cell>
          <cell r="E24">
            <v>1983</v>
          </cell>
          <cell r="F24" t="str">
            <v>-</v>
          </cell>
          <cell r="G24">
            <v>2001</v>
          </cell>
          <cell r="H24">
            <v>2003</v>
          </cell>
          <cell r="I24" t="str">
            <v>--</v>
          </cell>
          <cell r="J24" t="str">
            <v>Too high</v>
          </cell>
          <cell r="K24" t="str">
            <v>Too high</v>
          </cell>
          <cell r="L24" t="str">
            <v>Lower</v>
          </cell>
          <cell r="M24" t="str">
            <v>Lower</v>
          </cell>
          <cell r="N24" t="str">
            <v>Too high</v>
          </cell>
          <cell r="O24" t="str">
            <v>Satisfactory</v>
          </cell>
          <cell r="P24" t="str">
            <v>Lower</v>
          </cell>
          <cell r="Q24" t="str">
            <v>No intervention</v>
          </cell>
          <cell r="R24">
            <v>125472.001</v>
          </cell>
          <cell r="S24">
            <v>128084.652</v>
          </cell>
          <cell r="T24">
            <v>108.62</v>
          </cell>
          <cell r="U24">
            <v>136.167</v>
          </cell>
          <cell r="V24">
            <v>105.357</v>
          </cell>
          <cell r="W24">
            <v>133.56899999999999</v>
          </cell>
          <cell r="X24">
            <v>24.801000000000002</v>
          </cell>
          <cell r="Y24">
            <v>21.461000000000002</v>
          </cell>
          <cell r="Z24">
            <v>25.678000000000001</v>
          </cell>
          <cell r="AA24">
            <v>22.242000000000001</v>
          </cell>
          <cell r="AB24">
            <v>-1</v>
          </cell>
          <cell r="AC24">
            <v>-1</v>
          </cell>
          <cell r="AD24">
            <v>-0.877</v>
          </cell>
          <cell r="AE24">
            <v>-0.78100000000000003</v>
          </cell>
          <cell r="AF24">
            <v>-2.8695227983586329</v>
          </cell>
          <cell r="AG24">
            <v>-2.8571428571428572</v>
          </cell>
          <cell r="AH24">
            <v>442.08800000000002</v>
          </cell>
          <cell r="AI24">
            <v>453.21600000000001</v>
          </cell>
        </row>
        <row r="25">
          <cell r="A25" t="str">
            <v>Benin</v>
          </cell>
          <cell r="B25">
            <v>204</v>
          </cell>
          <cell r="C25">
            <v>1962</v>
          </cell>
          <cell r="D25">
            <v>1970</v>
          </cell>
          <cell r="E25" t="str">
            <v>-</v>
          </cell>
          <cell r="F25">
            <v>1980</v>
          </cell>
          <cell r="G25" t="str">
            <v>--</v>
          </cell>
          <cell r="H25">
            <v>2004</v>
          </cell>
          <cell r="I25">
            <v>2004</v>
          </cell>
          <cell r="J25" t="str">
            <v>Satisfactory</v>
          </cell>
          <cell r="K25" t="str">
            <v>Too high</v>
          </cell>
          <cell r="L25" t="str">
            <v>No intervention</v>
          </cell>
          <cell r="M25" t="str">
            <v>No intervention</v>
          </cell>
          <cell r="N25" t="str">
            <v>Satisfactory</v>
          </cell>
          <cell r="O25" t="str">
            <v>Satisfactory</v>
          </cell>
          <cell r="P25" t="str">
            <v>No intervention</v>
          </cell>
          <cell r="Q25" t="str">
            <v>Lower</v>
          </cell>
          <cell r="R25">
            <v>4288.0529999999999</v>
          </cell>
          <cell r="S25">
            <v>5702.7759999999998</v>
          </cell>
          <cell r="T25">
            <v>3097.9659999999999</v>
          </cell>
          <cell r="U25">
            <v>4253.2910000000002</v>
          </cell>
          <cell r="V25">
            <v>3102.681</v>
          </cell>
          <cell r="W25">
            <v>4185.5619999999999</v>
          </cell>
          <cell r="X25">
            <v>29.746000000000002</v>
          </cell>
          <cell r="Y25">
            <v>31.77</v>
          </cell>
          <cell r="Z25">
            <v>30.62</v>
          </cell>
          <cell r="AA25">
            <v>29.241999999999997</v>
          </cell>
          <cell r="AB25">
            <v>-29.286999999999999</v>
          </cell>
          <cell r="AC25">
            <v>98.831000000000003</v>
          </cell>
          <cell r="AD25">
            <v>-0.874</v>
          </cell>
          <cell r="AE25">
            <v>2.528</v>
          </cell>
          <cell r="AF25">
            <v>-1.9903171921488252</v>
          </cell>
          <cell r="AG25">
            <v>6.0056014442951628</v>
          </cell>
          <cell r="AH25">
            <v>22122.646999999997</v>
          </cell>
          <cell r="AI25">
            <v>22138.539000000001</v>
          </cell>
        </row>
        <row r="26">
          <cell r="A26" t="str">
            <v>Bermuda</v>
          </cell>
          <cell r="B26">
            <v>60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15866.134</v>
          </cell>
          <cell r="S26">
            <v>14825.105</v>
          </cell>
          <cell r="T26">
            <v>29.774999999999999</v>
          </cell>
          <cell r="U26">
            <v>31.169</v>
          </cell>
          <cell r="V26">
            <v>31.645</v>
          </cell>
          <cell r="W26">
            <v>33.005000000000003</v>
          </cell>
          <cell r="X26">
            <v>4.6479999999999997</v>
          </cell>
          <cell r="Y26">
            <v>4.125</v>
          </cell>
          <cell r="Z26">
            <v>4.6479999999999997</v>
          </cell>
          <cell r="AA26">
            <v>4.125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62.68</v>
          </cell>
          <cell r="AI26">
            <v>62.68</v>
          </cell>
        </row>
        <row r="27">
          <cell r="A27" t="str">
            <v>Bhutan</v>
          </cell>
          <cell r="B27">
            <v>64</v>
          </cell>
          <cell r="C27" t="str">
            <v>--</v>
          </cell>
          <cell r="D27" t="str">
            <v>--</v>
          </cell>
          <cell r="E27" t="str">
            <v>-</v>
          </cell>
          <cell r="F27" t="str">
            <v>-</v>
          </cell>
          <cell r="G27" t="str">
            <v>--</v>
          </cell>
          <cell r="H27" t="str">
            <v>--</v>
          </cell>
          <cell r="I27" t="str">
            <v>--</v>
          </cell>
          <cell r="J27" t="str">
            <v>Too high</v>
          </cell>
          <cell r="K27" t="str">
            <v>Satisfactory</v>
          </cell>
          <cell r="L27" t="str">
            <v>Lower</v>
          </cell>
          <cell r="M27" t="str">
            <v>Lower</v>
          </cell>
          <cell r="N27" t="str">
            <v>Satisfactory</v>
          </cell>
          <cell r="O27" t="str">
            <v>Satisfactory</v>
          </cell>
          <cell r="P27" t="str">
            <v>Maintain</v>
          </cell>
          <cell r="Q27" t="str">
            <v>Lower</v>
          </cell>
          <cell r="R27">
            <v>1695.6610000000001</v>
          </cell>
          <cell r="S27">
            <v>2686.873</v>
          </cell>
          <cell r="T27">
            <v>877.71500000000003</v>
          </cell>
          <cell r="U27">
            <v>1095.6880000000001</v>
          </cell>
          <cell r="V27">
            <v>855.26900000000001</v>
          </cell>
          <cell r="W27">
            <v>1066.8579999999999</v>
          </cell>
          <cell r="X27">
            <v>22.353999999999999</v>
          </cell>
          <cell r="Y27">
            <v>21.889000000000003</v>
          </cell>
          <cell r="Z27">
            <v>22.899000000000001</v>
          </cell>
          <cell r="AA27">
            <v>21.889000000000003</v>
          </cell>
          <cell r="AB27">
            <v>-5</v>
          </cell>
          <cell r="AC27">
            <v>0</v>
          </cell>
          <cell r="AD27">
            <v>-0.54500000000000004</v>
          </cell>
          <cell r="AE27">
            <v>0</v>
          </cell>
          <cell r="AF27">
            <v>-1.6525320095450251</v>
          </cell>
          <cell r="AG27">
            <v>0</v>
          </cell>
          <cell r="AH27">
            <v>4392.7929999999997</v>
          </cell>
          <cell r="AI27">
            <v>4354.4520000000002</v>
          </cell>
        </row>
        <row r="28">
          <cell r="A28" t="str">
            <v>Bolivia</v>
          </cell>
          <cell r="B28">
            <v>68</v>
          </cell>
          <cell r="C28">
            <v>1982</v>
          </cell>
          <cell r="D28">
            <v>1982</v>
          </cell>
          <cell r="E28" t="str">
            <v>-</v>
          </cell>
          <cell r="F28" t="str">
            <v>-</v>
          </cell>
          <cell r="G28">
            <v>2000</v>
          </cell>
          <cell r="H28" t="str">
            <v>--</v>
          </cell>
          <cell r="I28" t="str">
            <v>--</v>
          </cell>
          <cell r="J28" t="str">
            <v>Satisfactory</v>
          </cell>
          <cell r="K28" t="str">
            <v>Satisfactory</v>
          </cell>
          <cell r="L28" t="str">
            <v>No intervention</v>
          </cell>
          <cell r="M28" t="str">
            <v>Maintain</v>
          </cell>
          <cell r="N28" t="str">
            <v>Satisfactory</v>
          </cell>
          <cell r="O28" t="str">
            <v>Satisfactory</v>
          </cell>
          <cell r="P28" t="str">
            <v>No intervention</v>
          </cell>
          <cell r="Q28" t="str">
            <v>No intervention</v>
          </cell>
          <cell r="R28">
            <v>4587.8850000000002</v>
          </cell>
          <cell r="S28">
            <v>5263.7939999999999</v>
          </cell>
          <cell r="T28">
            <v>3716.2919999999999</v>
          </cell>
          <cell r="U28">
            <v>4574.8440000000001</v>
          </cell>
          <cell r="V28">
            <v>3765.402</v>
          </cell>
          <cell r="W28">
            <v>4607.1710000000003</v>
          </cell>
          <cell r="X28">
            <v>21.14</v>
          </cell>
          <cell r="Y28">
            <v>19.781999999999996</v>
          </cell>
          <cell r="Z28">
            <v>23.672000000000004</v>
          </cell>
          <cell r="AA28">
            <v>22.067999999999998</v>
          </cell>
          <cell r="AB28">
            <v>-100</v>
          </cell>
          <cell r="AC28">
            <v>-100</v>
          </cell>
          <cell r="AD28">
            <v>-2.532</v>
          </cell>
          <cell r="AE28">
            <v>-2.286</v>
          </cell>
          <cell r="AF28">
            <v>-7.7689936356404141</v>
          </cell>
          <cell r="AG28">
            <v>-7.5575164791646827</v>
          </cell>
          <cell r="AH28">
            <v>14908.126</v>
          </cell>
          <cell r="AI28">
            <v>16293.577000000001</v>
          </cell>
        </row>
        <row r="29">
          <cell r="A29" t="str">
            <v>Bosnia and Herzegovina</v>
          </cell>
          <cell r="B29">
            <v>70</v>
          </cell>
          <cell r="C29">
            <v>1993</v>
          </cell>
          <cell r="D29">
            <v>1993</v>
          </cell>
          <cell r="E29">
            <v>1993</v>
          </cell>
          <cell r="F29">
            <v>1993</v>
          </cell>
          <cell r="G29">
            <v>1996</v>
          </cell>
          <cell r="H29">
            <v>2002</v>
          </cell>
          <cell r="I29">
            <v>2002</v>
          </cell>
          <cell r="J29" t="str">
            <v>Satisfactory</v>
          </cell>
          <cell r="K29" t="str">
            <v>Satisfactory</v>
          </cell>
          <cell r="L29" t="str">
            <v>No intervention</v>
          </cell>
          <cell r="M29" t="str">
            <v>Maintain</v>
          </cell>
          <cell r="N29" t="str">
            <v>Too high</v>
          </cell>
          <cell r="O29" t="str">
            <v>Too high</v>
          </cell>
          <cell r="P29" t="str">
            <v>Lower</v>
          </cell>
          <cell r="Q29" t="str">
            <v>Lower</v>
          </cell>
          <cell r="R29">
            <v>4685.9719999999998</v>
          </cell>
          <cell r="S29">
            <v>5924.1450000000004</v>
          </cell>
          <cell r="T29">
            <v>1691.8820000000001</v>
          </cell>
          <cell r="U29">
            <v>1897.6489999999999</v>
          </cell>
          <cell r="V29">
            <v>1728.19</v>
          </cell>
          <cell r="W29">
            <v>2009.425</v>
          </cell>
          <cell r="X29">
            <v>23.506</v>
          </cell>
          <cell r="Y29">
            <v>3.0920000000000001</v>
          </cell>
          <cell r="Z29">
            <v>4.2409999999999997</v>
          </cell>
          <cell r="AA29">
            <v>1.0289999999999999</v>
          </cell>
          <cell r="AB29">
            <v>350</v>
          </cell>
          <cell r="AC29">
            <v>40</v>
          </cell>
          <cell r="AD29">
            <v>19.265000000000001</v>
          </cell>
          <cell r="AE29">
            <v>2.0630000000000002</v>
          </cell>
          <cell r="AF29">
            <v>162.09407013578851</v>
          </cell>
          <cell r="AG29">
            <v>21.32514447785384</v>
          </cell>
          <cell r="AH29">
            <v>3170.4610000000002</v>
          </cell>
          <cell r="AI29">
            <v>3145.4679999999998</v>
          </cell>
        </row>
        <row r="30">
          <cell r="A30" t="str">
            <v>Botswana</v>
          </cell>
          <cell r="B30">
            <v>72</v>
          </cell>
          <cell r="C30">
            <v>1969</v>
          </cell>
          <cell r="D30">
            <v>1969</v>
          </cell>
          <cell r="E30" t="str">
            <v>-</v>
          </cell>
          <cell r="F30" t="str">
            <v>-</v>
          </cell>
          <cell r="G30" t="str">
            <v>--</v>
          </cell>
          <cell r="H30">
            <v>2002</v>
          </cell>
          <cell r="I30">
            <v>2002</v>
          </cell>
          <cell r="J30" t="str">
            <v>Satisfactory</v>
          </cell>
          <cell r="K30" t="str">
            <v>Too high</v>
          </cell>
          <cell r="L30" t="str">
            <v>No intervention</v>
          </cell>
          <cell r="M30" t="str">
            <v>Lower</v>
          </cell>
          <cell r="N30" t="str">
            <v>Satisfactory</v>
          </cell>
          <cell r="O30" t="str">
            <v>Satisfactory</v>
          </cell>
          <cell r="P30" t="str">
            <v>No intervention</v>
          </cell>
          <cell r="Q30" t="str">
            <v>No intervention</v>
          </cell>
          <cell r="R30">
            <v>3176.779</v>
          </cell>
          <cell r="S30">
            <v>3576.8180000000002</v>
          </cell>
          <cell r="T30">
            <v>792.85400000000004</v>
          </cell>
          <cell r="U30">
            <v>866.99199999999996</v>
          </cell>
          <cell r="V30">
            <v>822.67399999999998</v>
          </cell>
          <cell r="W30">
            <v>897.93399999999997</v>
          </cell>
          <cell r="X30">
            <v>16.439</v>
          </cell>
          <cell r="Y30">
            <v>1.2410000000000019</v>
          </cell>
          <cell r="Z30">
            <v>17.27</v>
          </cell>
          <cell r="AA30">
            <v>1.9230000000000018</v>
          </cell>
          <cell r="AB30">
            <v>-7</v>
          </cell>
          <cell r="AC30">
            <v>-6</v>
          </cell>
          <cell r="AD30">
            <v>-0.83099999999999996</v>
          </cell>
          <cell r="AE30">
            <v>-0.68200000000000005</v>
          </cell>
          <cell r="AF30">
            <v>-2.7914581380974224</v>
          </cell>
          <cell r="AG30">
            <v>-2.5337730837285317</v>
          </cell>
          <cell r="AH30">
            <v>1657.527</v>
          </cell>
          <cell r="AI30">
            <v>1707.2950000000001</v>
          </cell>
        </row>
        <row r="31">
          <cell r="A31" t="str">
            <v>Brazil</v>
          </cell>
          <cell r="B31">
            <v>76</v>
          </cell>
          <cell r="C31">
            <v>1960</v>
          </cell>
          <cell r="D31">
            <v>1972</v>
          </cell>
          <cell r="E31">
            <v>1965</v>
          </cell>
          <cell r="F31" t="str">
            <v>-</v>
          </cell>
          <cell r="G31" t="str">
            <v>--</v>
          </cell>
          <cell r="H31">
            <v>2004</v>
          </cell>
          <cell r="I31">
            <v>2004</v>
          </cell>
          <cell r="J31" t="str">
            <v>Satisfactory</v>
          </cell>
          <cell r="K31" t="str">
            <v>Satisfactory</v>
          </cell>
          <cell r="L31" t="str">
            <v>Maintain</v>
          </cell>
          <cell r="M31" t="str">
            <v>Maintain</v>
          </cell>
          <cell r="N31" t="str">
            <v>Too high</v>
          </cell>
          <cell r="O31" t="str">
            <v>Satisfactory</v>
          </cell>
          <cell r="P31" t="str">
            <v>No intervention</v>
          </cell>
          <cell r="Q31" t="str">
            <v>No intervention</v>
          </cell>
          <cell r="R31">
            <v>20362.330000000002</v>
          </cell>
          <cell r="S31">
            <v>25347.367999999999</v>
          </cell>
          <cell r="T31">
            <v>79948.159</v>
          </cell>
          <cell r="U31">
            <v>91869.5</v>
          </cell>
          <cell r="V31">
            <v>81427.801999999996</v>
          </cell>
          <cell r="W31">
            <v>94535.413</v>
          </cell>
          <cell r="X31">
            <v>14.894</v>
          </cell>
          <cell r="Y31">
            <v>13.932</v>
          </cell>
          <cell r="Z31">
            <v>15.048999999999999</v>
          </cell>
          <cell r="AA31">
            <v>14.076000000000001</v>
          </cell>
          <cell r="AB31">
            <v>-130</v>
          </cell>
          <cell r="AC31">
            <v>-130</v>
          </cell>
          <cell r="AD31">
            <v>-0.155</v>
          </cell>
          <cell r="AE31">
            <v>-0.14399999999999999</v>
          </cell>
          <cell r="AF31">
            <v>-0.71773957967734736</v>
          </cell>
          <cell r="AG31">
            <v>-0.69870869496211141</v>
          </cell>
          <cell r="AH31">
            <v>253105.29399999999</v>
          </cell>
          <cell r="AI31">
            <v>254678.185</v>
          </cell>
        </row>
        <row r="32">
          <cell r="A32" t="str">
            <v>British Virgin Islands</v>
          </cell>
          <cell r="B32">
            <v>92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-</v>
          </cell>
          <cell r="I32" t="str">
            <v>-</v>
          </cell>
          <cell r="J32" t="str">
            <v>-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251.803</v>
          </cell>
          <cell r="S32">
            <v>329.19799999999998</v>
          </cell>
          <cell r="T32">
            <v>9.4789999999999992</v>
          </cell>
          <cell r="U32">
            <v>11.260999999999999</v>
          </cell>
          <cell r="V32">
            <v>8.9789999999999992</v>
          </cell>
          <cell r="W32">
            <v>10.755000000000001</v>
          </cell>
          <cell r="X32">
            <v>21.18</v>
          </cell>
          <cell r="Y32">
            <v>14.049000000000001</v>
          </cell>
          <cell r="Z32">
            <v>16.47</v>
          </cell>
          <cell r="AA32">
            <v>14.049000000000001</v>
          </cell>
          <cell r="AB32">
            <v>0.45900000000000002</v>
          </cell>
          <cell r="AC32">
            <v>0</v>
          </cell>
          <cell r="AD32">
            <v>4.71</v>
          </cell>
          <cell r="AE32">
            <v>0</v>
          </cell>
          <cell r="AF32">
            <v>23.311325545962415</v>
          </cell>
          <cell r="AG32">
            <v>0</v>
          </cell>
          <cell r="AH32">
            <v>28.265000000000001</v>
          </cell>
          <cell r="AI32">
            <v>28.265000000000001</v>
          </cell>
        </row>
        <row r="33">
          <cell r="A33" t="str">
            <v>Brunei Darussalam</v>
          </cell>
          <cell r="B33">
            <v>96</v>
          </cell>
          <cell r="C33" t="str">
            <v>--</v>
          </cell>
          <cell r="D33" t="str">
            <v>--</v>
          </cell>
          <cell r="E33" t="str">
            <v>-</v>
          </cell>
          <cell r="F33" t="str">
            <v>-</v>
          </cell>
          <cell r="G33" t="str">
            <v>--</v>
          </cell>
          <cell r="H33" t="str">
            <v>--</v>
          </cell>
          <cell r="I33" t="str">
            <v>--</v>
          </cell>
          <cell r="J33" t="str">
            <v>Satisfactory</v>
          </cell>
          <cell r="K33" t="str">
            <v>Satisfactory</v>
          </cell>
          <cell r="L33" t="str">
            <v>Lower</v>
          </cell>
          <cell r="M33" t="str">
            <v>Maintain</v>
          </cell>
          <cell r="N33" t="str">
            <v>Satisfactory</v>
          </cell>
          <cell r="O33" t="str">
            <v>Satisfactory</v>
          </cell>
          <cell r="P33" t="str">
            <v>No intervention</v>
          </cell>
          <cell r="Q33" t="str">
            <v>No intervention</v>
          </cell>
          <cell r="R33">
            <v>2389.2960000000003</v>
          </cell>
          <cell r="S33">
            <v>2646.4870000000001</v>
          </cell>
          <cell r="T33">
            <v>154.63800000000001</v>
          </cell>
          <cell r="U33">
            <v>193.65600000000001</v>
          </cell>
          <cell r="V33">
            <v>140.33699999999999</v>
          </cell>
          <cell r="W33">
            <v>180.16300000000001</v>
          </cell>
          <cell r="X33">
            <v>24.497</v>
          </cell>
          <cell r="Y33">
            <v>22.823999999999998</v>
          </cell>
          <cell r="Z33">
            <v>22.256999999999998</v>
          </cell>
          <cell r="AA33">
            <v>20.832999999999998</v>
          </cell>
          <cell r="AB33">
            <v>3.52</v>
          </cell>
          <cell r="AC33">
            <v>3.52</v>
          </cell>
          <cell r="AD33">
            <v>2.2400000000000002</v>
          </cell>
          <cell r="AE33">
            <v>1.9910000000000001</v>
          </cell>
          <cell r="AF33">
            <v>8.9195215892965756</v>
          </cell>
          <cell r="AG33">
            <v>8.4339658807743927</v>
          </cell>
          <cell r="AH33">
            <v>680.61</v>
          </cell>
          <cell r="AI33">
            <v>551.19600000000003</v>
          </cell>
        </row>
        <row r="34">
          <cell r="A34" t="str">
            <v>Bulgaria</v>
          </cell>
          <cell r="B34">
            <v>100</v>
          </cell>
          <cell r="C34">
            <v>1993</v>
          </cell>
          <cell r="D34">
            <v>1993</v>
          </cell>
          <cell r="E34" t="str">
            <v>-</v>
          </cell>
          <cell r="F34" t="str">
            <v>-</v>
          </cell>
          <cell r="G34" t="str">
            <v>--</v>
          </cell>
          <cell r="H34">
            <v>2001</v>
          </cell>
          <cell r="I34">
            <v>2001</v>
          </cell>
          <cell r="J34" t="str">
            <v>Too high</v>
          </cell>
          <cell r="K34" t="str">
            <v>Satisfactory</v>
          </cell>
          <cell r="L34" t="str">
            <v>Maintain</v>
          </cell>
          <cell r="M34" t="str">
            <v>Maintain</v>
          </cell>
          <cell r="N34" t="str">
            <v>Too high</v>
          </cell>
          <cell r="O34" t="str">
            <v>Satisfactory</v>
          </cell>
          <cell r="P34" t="str">
            <v>Lower</v>
          </cell>
          <cell r="Q34" t="str">
            <v>Maintain</v>
          </cell>
          <cell r="R34">
            <v>44499.631999999998</v>
          </cell>
          <cell r="S34">
            <v>50519.491999999998</v>
          </cell>
          <cell r="T34">
            <v>4060.8879999999999</v>
          </cell>
          <cell r="U34">
            <v>3741.576</v>
          </cell>
          <cell r="V34">
            <v>4235.7650000000003</v>
          </cell>
          <cell r="W34">
            <v>3984.3890000000001</v>
          </cell>
          <cell r="X34">
            <v>-7.3640000000000008</v>
          </cell>
          <cell r="Y34">
            <v>-6.8870000000000005</v>
          </cell>
          <cell r="Z34">
            <v>-6.1370000000000005</v>
          </cell>
          <cell r="AA34">
            <v>-5.6150000000000002</v>
          </cell>
          <cell r="AB34">
            <v>-50</v>
          </cell>
          <cell r="AC34">
            <v>-50</v>
          </cell>
          <cell r="AD34">
            <v>-1.2270000000000001</v>
          </cell>
          <cell r="AE34">
            <v>-1.272</v>
          </cell>
          <cell r="AF34">
            <v>-15.037051294389375</v>
          </cell>
          <cell r="AG34">
            <v>-14.673858814000035</v>
          </cell>
          <cell r="AH34">
            <v>5064.6890000000003</v>
          </cell>
          <cell r="AI34">
            <v>5439.4120000000003</v>
          </cell>
        </row>
        <row r="35">
          <cell r="A35" t="str">
            <v>Burkina Faso</v>
          </cell>
          <cell r="B35">
            <v>854</v>
          </cell>
          <cell r="C35">
            <v>1980</v>
          </cell>
          <cell r="D35">
            <v>1980</v>
          </cell>
          <cell r="E35">
            <v>1961</v>
          </cell>
          <cell r="F35">
            <v>1977</v>
          </cell>
          <cell r="G35">
            <v>2003</v>
          </cell>
          <cell r="H35">
            <v>2002</v>
          </cell>
          <cell r="I35">
            <v>2002</v>
          </cell>
          <cell r="J35" t="str">
            <v>Satisfactory</v>
          </cell>
          <cell r="K35" t="str">
            <v>Satisfactory</v>
          </cell>
          <cell r="L35" t="str">
            <v>No intervention</v>
          </cell>
          <cell r="M35" t="str">
            <v>No intervention</v>
          </cell>
          <cell r="N35" t="str">
            <v>Too high</v>
          </cell>
          <cell r="O35" t="str">
            <v>Too high</v>
          </cell>
          <cell r="P35" t="str">
            <v>Lower</v>
          </cell>
          <cell r="Q35" t="str">
            <v>No intervention</v>
          </cell>
          <cell r="R35">
            <v>21682.06</v>
          </cell>
          <cell r="S35">
            <v>27132.629000000001</v>
          </cell>
          <cell r="T35">
            <v>4900.3959999999997</v>
          </cell>
          <cell r="U35">
            <v>6650.2809999999999</v>
          </cell>
          <cell r="V35">
            <v>4931.4610000000002</v>
          </cell>
          <cell r="W35">
            <v>6577.5540000000001</v>
          </cell>
          <cell r="X35">
            <v>27.642000000000003</v>
          </cell>
          <cell r="Y35">
            <v>31.585999999999999</v>
          </cell>
          <cell r="Z35">
            <v>29.926000000000002</v>
          </cell>
          <cell r="AA35">
            <v>29.954999999999998</v>
          </cell>
          <cell r="AB35">
            <v>-120.59099999999999</v>
          </cell>
          <cell r="AC35">
            <v>100</v>
          </cell>
          <cell r="AD35">
            <v>-2.2839999999999998</v>
          </cell>
          <cell r="AE35">
            <v>1.631</v>
          </cell>
          <cell r="AF35">
            <v>-4.7310959777974979</v>
          </cell>
          <cell r="AG35">
            <v>3.4607524714098585</v>
          </cell>
          <cell r="AH35">
            <v>39093.157999999996</v>
          </cell>
          <cell r="AI35">
            <v>40067.195999999996</v>
          </cell>
        </row>
        <row r="36">
          <cell r="A36" t="str">
            <v>Burundi</v>
          </cell>
          <cell r="B36">
            <v>108</v>
          </cell>
          <cell r="C36">
            <v>1963</v>
          </cell>
          <cell r="D36">
            <v>1971</v>
          </cell>
          <cell r="E36" t="str">
            <v>-</v>
          </cell>
          <cell r="F36" t="str">
            <v>-</v>
          </cell>
          <cell r="G36" t="str">
            <v>--</v>
          </cell>
          <cell r="H36" t="str">
            <v>--</v>
          </cell>
          <cell r="I36" t="str">
            <v>--</v>
          </cell>
          <cell r="J36" t="str">
            <v>Satisfactory</v>
          </cell>
          <cell r="K36" t="str">
            <v>Satisfactory</v>
          </cell>
          <cell r="L36" t="str">
            <v>No intervention</v>
          </cell>
          <cell r="M36" t="str">
            <v>No intervention</v>
          </cell>
          <cell r="N36" t="str">
            <v>Satisfactory</v>
          </cell>
          <cell r="O36" t="str">
            <v>Satisfactory</v>
          </cell>
          <cell r="P36" t="str">
            <v>No intervention</v>
          </cell>
          <cell r="Q36" t="str">
            <v>No intervention</v>
          </cell>
          <cell r="R36">
            <v>2609.989</v>
          </cell>
          <cell r="S36">
            <v>3702.212</v>
          </cell>
          <cell r="T36">
            <v>2991.9969999999998</v>
          </cell>
          <cell r="U36">
            <v>3684.3270000000002</v>
          </cell>
          <cell r="V36">
            <v>3167.0630000000001</v>
          </cell>
          <cell r="W36">
            <v>3863.1880000000001</v>
          </cell>
          <cell r="X36">
            <v>10.345000000000001</v>
          </cell>
          <cell r="Y36">
            <v>30.254999999999999</v>
          </cell>
          <cell r="Z36">
            <v>22.997999999999998</v>
          </cell>
          <cell r="AA36">
            <v>24.794000000000004</v>
          </cell>
          <cell r="AB36">
            <v>-400</v>
          </cell>
          <cell r="AC36">
            <v>191.6</v>
          </cell>
          <cell r="AD36">
            <v>-12.653</v>
          </cell>
          <cell r="AE36">
            <v>5.4610000000000003</v>
          </cell>
          <cell r="AF36">
            <v>-29.276147259020714</v>
          </cell>
          <cell r="AG36">
            <v>12.511133341517375</v>
          </cell>
          <cell r="AH36">
            <v>25811.754000000001</v>
          </cell>
          <cell r="AI36">
            <v>25083.034</v>
          </cell>
        </row>
        <row r="37">
          <cell r="A37" t="str">
            <v>Cambodia</v>
          </cell>
          <cell r="B37">
            <v>116</v>
          </cell>
          <cell r="C37">
            <v>1992</v>
          </cell>
          <cell r="D37">
            <v>1992</v>
          </cell>
          <cell r="E37" t="str">
            <v>-</v>
          </cell>
          <cell r="F37" t="str">
            <v>-</v>
          </cell>
          <cell r="G37" t="str">
            <v>--</v>
          </cell>
          <cell r="H37" t="str">
            <v>--</v>
          </cell>
          <cell r="I37" t="str">
            <v>--</v>
          </cell>
          <cell r="J37" t="str">
            <v>Satisfactory</v>
          </cell>
          <cell r="K37" t="str">
            <v>Satisfactory</v>
          </cell>
          <cell r="L37" t="str">
            <v>Maintain</v>
          </cell>
          <cell r="M37" t="str">
            <v>Maintain</v>
          </cell>
          <cell r="N37" t="str">
            <v>Too high</v>
          </cell>
          <cell r="O37" t="str">
            <v>Satisfactory</v>
          </cell>
          <cell r="P37" t="str">
            <v>Lower</v>
          </cell>
          <cell r="Q37" t="str">
            <v>No intervention</v>
          </cell>
          <cell r="R37">
            <v>2177.2640000000001</v>
          </cell>
          <cell r="S37">
            <v>2566.9809999999998</v>
          </cell>
          <cell r="T37">
            <v>5454.1660000000002</v>
          </cell>
          <cell r="U37">
            <v>6800.8689999999997</v>
          </cell>
          <cell r="V37">
            <v>5913.6189999999997</v>
          </cell>
          <cell r="W37">
            <v>7270.1450000000004</v>
          </cell>
          <cell r="X37">
            <v>22.836999999999996</v>
          </cell>
          <cell r="Y37">
            <v>19.79</v>
          </cell>
          <cell r="Z37">
            <v>21.177999999999997</v>
          </cell>
          <cell r="AA37">
            <v>19.939</v>
          </cell>
          <cell r="AB37">
            <v>100</v>
          </cell>
          <cell r="AC37">
            <v>-10</v>
          </cell>
          <cell r="AD37">
            <v>1.659</v>
          </cell>
          <cell r="AE37">
            <v>-0.14899999999999999</v>
          </cell>
          <cell r="AF37">
            <v>5.135217992571393</v>
          </cell>
          <cell r="AG37">
            <v>-0.48463183973031204</v>
          </cell>
          <cell r="AH37">
            <v>25971.724000000002</v>
          </cell>
          <cell r="AI37">
            <v>26104.802</v>
          </cell>
        </row>
        <row r="38">
          <cell r="A38" t="str">
            <v>Cameroon</v>
          </cell>
          <cell r="B38">
            <v>120</v>
          </cell>
          <cell r="C38">
            <v>1961</v>
          </cell>
          <cell r="D38">
            <v>1967</v>
          </cell>
          <cell r="E38">
            <v>1962</v>
          </cell>
          <cell r="F38">
            <v>1978</v>
          </cell>
          <cell r="G38" t="str">
            <v>--</v>
          </cell>
          <cell r="H38" t="str">
            <v>--</v>
          </cell>
          <cell r="I38" t="str">
            <v>--</v>
          </cell>
          <cell r="J38" t="str">
            <v>Satisfactory</v>
          </cell>
          <cell r="K38" t="str">
            <v>Satisfactory</v>
          </cell>
          <cell r="L38" t="str">
            <v>Lower</v>
          </cell>
          <cell r="M38" t="str">
            <v>Lower</v>
          </cell>
          <cell r="N38" t="str">
            <v>Satisfactory</v>
          </cell>
          <cell r="O38" t="str">
            <v>Satisfactory</v>
          </cell>
          <cell r="P38" t="str">
            <v>No intervention</v>
          </cell>
          <cell r="Q38" t="str">
            <v>No intervention</v>
          </cell>
          <cell r="R38">
            <v>126075.06700000001</v>
          </cell>
          <cell r="S38">
            <v>157935.07500000001</v>
          </cell>
          <cell r="T38">
            <v>6597.6350000000002</v>
          </cell>
          <cell r="U38">
            <v>8118.7049999999999</v>
          </cell>
          <cell r="V38">
            <v>6704.64</v>
          </cell>
          <cell r="W38">
            <v>8203.1579999999994</v>
          </cell>
          <cell r="X38">
            <v>22.074999999999999</v>
          </cell>
          <cell r="Y38">
            <v>18.802000000000003</v>
          </cell>
          <cell r="Z38">
            <v>22.078999999999997</v>
          </cell>
          <cell r="AA38">
            <v>18.635000000000002</v>
          </cell>
          <cell r="AB38">
            <v>-0.249</v>
          </cell>
          <cell r="AC38">
            <v>13</v>
          </cell>
          <cell r="AD38">
            <v>-4.0000000000000001E-3</v>
          </cell>
          <cell r="AE38">
            <v>0.16700000000000001</v>
          </cell>
          <cell r="AF38">
            <v>-9.3610500616927023E-3</v>
          </cell>
          <cell r="AG38">
            <v>0.46484302787306064</v>
          </cell>
          <cell r="AH38">
            <v>26891.46</v>
          </cell>
          <cell r="AI38">
            <v>26998.800999999999</v>
          </cell>
        </row>
        <row r="39">
          <cell r="A39" t="str">
            <v>Canada</v>
          </cell>
          <cell r="B39">
            <v>124</v>
          </cell>
          <cell r="C39">
            <v>1969</v>
          </cell>
          <cell r="D39">
            <v>1969</v>
          </cell>
          <cell r="E39" t="str">
            <v>-</v>
          </cell>
          <cell r="F39" t="str">
            <v>-</v>
          </cell>
          <cell r="G39" t="str">
            <v>--</v>
          </cell>
          <cell r="H39">
            <v>2002</v>
          </cell>
          <cell r="I39">
            <v>2002</v>
          </cell>
          <cell r="J39" t="str">
            <v>Satisfactory</v>
          </cell>
          <cell r="K39" t="str">
            <v>Too low</v>
          </cell>
          <cell r="L39" t="str">
            <v>Lower</v>
          </cell>
          <cell r="M39" t="str">
            <v>Raise</v>
          </cell>
          <cell r="N39" t="str">
            <v>Satisfactory</v>
          </cell>
          <cell r="O39" t="str">
            <v>Satisfactory</v>
          </cell>
          <cell r="P39" t="str">
            <v>No intervention</v>
          </cell>
          <cell r="Q39" t="str">
            <v>No intervention</v>
          </cell>
          <cell r="R39">
            <v>68395.835000000006</v>
          </cell>
          <cell r="S39">
            <v>83054.478000000003</v>
          </cell>
          <cell r="T39">
            <v>14503.314</v>
          </cell>
          <cell r="U39">
            <v>15993.69</v>
          </cell>
          <cell r="V39">
            <v>14798.777</v>
          </cell>
          <cell r="W39">
            <v>16274.553</v>
          </cell>
          <cell r="X39">
            <v>9.2480000000000011</v>
          </cell>
          <cell r="Y39">
            <v>10.033000000000001</v>
          </cell>
          <cell r="Z39">
            <v>4.3630000000000004</v>
          </cell>
          <cell r="AA39">
            <v>3.3650000000000002</v>
          </cell>
          <cell r="AB39">
            <v>732.60299999999995</v>
          </cell>
          <cell r="AC39">
            <v>1049.53</v>
          </cell>
          <cell r="AD39">
            <v>4.8849999999999998</v>
          </cell>
          <cell r="AE39">
            <v>6.6680000000000001</v>
          </cell>
          <cell r="AF39">
            <v>42.138178839772614</v>
          </cell>
          <cell r="AG39">
            <v>63.218795835328635</v>
          </cell>
          <cell r="AH39">
            <v>42844.262999999999</v>
          </cell>
          <cell r="AI39">
            <v>30772.048999999999</v>
          </cell>
        </row>
        <row r="40">
          <cell r="A40" t="str">
            <v>Cape Verde</v>
          </cell>
          <cell r="B40">
            <v>132</v>
          </cell>
          <cell r="C40" t="str">
            <v>--</v>
          </cell>
          <cell r="D40">
            <v>1987</v>
          </cell>
          <cell r="E40" t="str">
            <v>-</v>
          </cell>
          <cell r="F40" t="str">
            <v>-</v>
          </cell>
          <cell r="G40">
            <v>1997</v>
          </cell>
          <cell r="H40">
            <v>2004</v>
          </cell>
          <cell r="I40">
            <v>2004</v>
          </cell>
          <cell r="J40" t="str">
            <v>Satisfactory</v>
          </cell>
          <cell r="K40" t="str">
            <v>Satisfactory</v>
          </cell>
          <cell r="L40" t="str">
            <v>No intervention</v>
          </cell>
          <cell r="M40" t="str">
            <v>No intervention</v>
          </cell>
          <cell r="N40" t="str">
            <v>Too low</v>
          </cell>
          <cell r="O40" t="str">
            <v>Satisfactory</v>
          </cell>
          <cell r="P40" t="str">
            <v>Maintain</v>
          </cell>
          <cell r="Q40" t="str">
            <v>Maintain</v>
          </cell>
          <cell r="R40">
            <v>525.73599999999999</v>
          </cell>
          <cell r="S40">
            <v>812.84199999999998</v>
          </cell>
          <cell r="T40">
            <v>189.761</v>
          </cell>
          <cell r="U40">
            <v>243.221</v>
          </cell>
          <cell r="V40">
            <v>211.34899999999999</v>
          </cell>
          <cell r="W40">
            <v>263.58600000000001</v>
          </cell>
          <cell r="X40">
            <v>23.242000000000001</v>
          </cell>
          <cell r="Y40">
            <v>23.484999999999999</v>
          </cell>
          <cell r="Z40">
            <v>25.59</v>
          </cell>
          <cell r="AA40">
            <v>25.573999999999998</v>
          </cell>
          <cell r="AB40">
            <v>-5</v>
          </cell>
          <cell r="AC40">
            <v>-5</v>
          </cell>
          <cell r="AD40">
            <v>-2.3479999999999999</v>
          </cell>
          <cell r="AE40">
            <v>-2.089</v>
          </cell>
          <cell r="AF40">
            <v>-7.4156470152020777</v>
          </cell>
          <cell r="AG40">
            <v>-6.7629713791051236</v>
          </cell>
          <cell r="AH40">
            <v>1001.823</v>
          </cell>
          <cell r="AI40">
            <v>1088.7149999999999</v>
          </cell>
        </row>
        <row r="41">
          <cell r="A41" t="str">
            <v>Cayman Islands</v>
          </cell>
          <cell r="B41">
            <v>136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45006.607000000004</v>
          </cell>
          <cell r="S41">
            <v>47816.936000000002</v>
          </cell>
          <cell r="T41">
            <v>16.119</v>
          </cell>
          <cell r="U41">
            <v>22.155999999999999</v>
          </cell>
          <cell r="V41">
            <v>16.747</v>
          </cell>
          <cell r="W41">
            <v>22.861000000000001</v>
          </cell>
          <cell r="X41">
            <v>37.695999999999998</v>
          </cell>
          <cell r="Y41">
            <v>25.08</v>
          </cell>
          <cell r="Z41">
            <v>10.137</v>
          </cell>
          <cell r="AA41">
            <v>8.5549999999999997</v>
          </cell>
          <cell r="AB41">
            <v>5</v>
          </cell>
          <cell r="AC41">
            <v>3.5</v>
          </cell>
          <cell r="AD41">
            <v>27.559000000000001</v>
          </cell>
          <cell r="AE41">
            <v>16.524999999999999</v>
          </cell>
          <cell r="AF41">
            <v>184.02649981597349</v>
          </cell>
          <cell r="AG41">
            <v>124.42232492001422</v>
          </cell>
          <cell r="AH41">
            <v>58.712000000000003</v>
          </cell>
          <cell r="AI41">
            <v>45.597000000000001</v>
          </cell>
        </row>
        <row r="42">
          <cell r="A42" t="str">
            <v>Central African Republic</v>
          </cell>
          <cell r="B42">
            <v>140</v>
          </cell>
          <cell r="C42">
            <v>1962</v>
          </cell>
          <cell r="D42">
            <v>1967</v>
          </cell>
          <cell r="E42" t="str">
            <v>-</v>
          </cell>
          <cell r="F42" t="str">
            <v>-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Satisfactory</v>
          </cell>
          <cell r="K42" t="str">
            <v>Satisfactory</v>
          </cell>
          <cell r="L42" t="str">
            <v>No intervention</v>
          </cell>
          <cell r="M42" t="str">
            <v>No intervention</v>
          </cell>
          <cell r="N42" t="str">
            <v>Too high</v>
          </cell>
          <cell r="O42" t="str">
            <v>Too high</v>
          </cell>
          <cell r="P42" t="str">
            <v>No intervention</v>
          </cell>
          <cell r="Q42" t="str">
            <v>No intervention</v>
          </cell>
          <cell r="R42">
            <v>18681.849999999999</v>
          </cell>
          <cell r="S42">
            <v>24573.1</v>
          </cell>
          <cell r="T42">
            <v>1653.6579999999999</v>
          </cell>
          <cell r="U42">
            <v>1969.1289999999999</v>
          </cell>
          <cell r="V42">
            <v>1760.7460000000001</v>
          </cell>
          <cell r="W42">
            <v>2068.6179999999999</v>
          </cell>
          <cell r="X42">
            <v>20.190000000000001</v>
          </cell>
          <cell r="Y42">
            <v>13.324999999999999</v>
          </cell>
          <cell r="Z42">
            <v>19.562000000000001</v>
          </cell>
          <cell r="AA42">
            <v>15.628</v>
          </cell>
          <cell r="AB42">
            <v>11.292999999999999</v>
          </cell>
          <cell r="AC42">
            <v>-45</v>
          </cell>
          <cell r="AD42">
            <v>0.628</v>
          </cell>
          <cell r="AE42">
            <v>-2.3029999999999999</v>
          </cell>
          <cell r="AF42">
            <v>1.5779905736966169</v>
          </cell>
          <cell r="AG42">
            <v>-6.0981063347128606</v>
          </cell>
          <cell r="AH42">
            <v>6747.3760000000002</v>
          </cell>
          <cell r="AI42">
            <v>6770.2579999999998</v>
          </cell>
        </row>
        <row r="43">
          <cell r="A43" t="str">
            <v>Chad</v>
          </cell>
          <cell r="B43">
            <v>148</v>
          </cell>
          <cell r="C43">
            <v>1981</v>
          </cell>
          <cell r="D43">
            <v>1981</v>
          </cell>
          <cell r="E43" t="str">
            <v>-</v>
          </cell>
          <cell r="F43" t="str">
            <v>-</v>
          </cell>
          <cell r="G43" t="str">
            <v>--</v>
          </cell>
          <cell r="H43" t="str">
            <v>--</v>
          </cell>
          <cell r="I43" t="str">
            <v>--</v>
          </cell>
          <cell r="J43" t="str">
            <v>Satisfactory</v>
          </cell>
          <cell r="K43" t="str">
            <v>Satisfactory</v>
          </cell>
          <cell r="L43" t="str">
            <v>Maintain</v>
          </cell>
          <cell r="M43" t="str">
            <v>Maintain</v>
          </cell>
          <cell r="N43" t="str">
            <v>Satisfactory</v>
          </cell>
          <cell r="O43" t="str">
            <v>Satisfactory</v>
          </cell>
          <cell r="P43" t="str">
            <v>Maintain</v>
          </cell>
          <cell r="Q43" t="str">
            <v>Maintain</v>
          </cell>
          <cell r="R43">
            <v>3478.0370000000003</v>
          </cell>
          <cell r="S43">
            <v>4325.5390000000007</v>
          </cell>
          <cell r="T43">
            <v>3467.8710000000001</v>
          </cell>
          <cell r="U43">
            <v>4823.8069999999998</v>
          </cell>
          <cell r="V43">
            <v>3565.76</v>
          </cell>
          <cell r="W43">
            <v>4925.1239999999998</v>
          </cell>
          <cell r="X43">
            <v>31.003</v>
          </cell>
          <cell r="Y43">
            <v>34.143000000000001</v>
          </cell>
          <cell r="Z43">
            <v>28.393999999999998</v>
          </cell>
          <cell r="AA43">
            <v>28.11</v>
          </cell>
          <cell r="AB43">
            <v>99.444000000000003</v>
          </cell>
          <cell r="AC43">
            <v>270.94099999999997</v>
          </cell>
          <cell r="AD43">
            <v>2.609</v>
          </cell>
          <cell r="AE43">
            <v>6.0330000000000004</v>
          </cell>
          <cell r="AF43">
            <v>5.4280918655586028</v>
          </cell>
          <cell r="AG43">
            <v>12.506537358145675</v>
          </cell>
          <cell r="AH43">
            <v>31496.758000000002</v>
          </cell>
          <cell r="AI43">
            <v>32204.041000000001</v>
          </cell>
        </row>
        <row r="44">
          <cell r="A44" t="str">
            <v>Channel Islands</v>
          </cell>
          <cell r="B44">
            <v>830</v>
          </cell>
          <cell r="C44" t="str">
            <v>-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18872.165999999997</v>
          </cell>
          <cell r="S44">
            <v>20742.904999999999</v>
          </cell>
          <cell r="T44">
            <v>69.754000000000005</v>
          </cell>
          <cell r="U44">
            <v>73.183000000000007</v>
          </cell>
          <cell r="V44">
            <v>74.242000000000004</v>
          </cell>
          <cell r="W44">
            <v>76.28</v>
          </cell>
          <cell r="X44">
            <v>3.6869999999999994</v>
          </cell>
          <cell r="Y44">
            <v>3.7660000000000009</v>
          </cell>
          <cell r="Z44">
            <v>0.2159999999999993</v>
          </cell>
          <cell r="AA44">
            <v>0.38900000000000112</v>
          </cell>
          <cell r="AB44">
            <v>2.5219999999999998</v>
          </cell>
          <cell r="AC44">
            <v>2.5</v>
          </cell>
          <cell r="AD44">
            <v>3.4710000000000001</v>
          </cell>
          <cell r="AE44">
            <v>3.3769999999999998</v>
          </cell>
          <cell r="AF44">
            <v>30.714894653513575</v>
          </cell>
          <cell r="AG44">
            <v>32.68401098182769</v>
          </cell>
          <cell r="AH44">
            <v>171.155</v>
          </cell>
          <cell r="AI44">
            <v>134.10599999999999</v>
          </cell>
        </row>
        <row r="45">
          <cell r="A45" t="str">
            <v>Chile</v>
          </cell>
          <cell r="B45">
            <v>152</v>
          </cell>
          <cell r="C45">
            <v>1972</v>
          </cell>
          <cell r="D45">
            <v>1972</v>
          </cell>
          <cell r="E45" t="str">
            <v>-</v>
          </cell>
          <cell r="F45" t="str">
            <v>-</v>
          </cell>
          <cell r="G45">
            <v>2005</v>
          </cell>
          <cell r="H45">
            <v>2004</v>
          </cell>
          <cell r="I45">
            <v>2004</v>
          </cell>
          <cell r="J45" t="str">
            <v>Satisfactory</v>
          </cell>
          <cell r="K45" t="str">
            <v>Satisfactory</v>
          </cell>
          <cell r="L45" t="str">
            <v>Maintain</v>
          </cell>
          <cell r="M45" t="str">
            <v>Maintain</v>
          </cell>
          <cell r="N45" t="str">
            <v>Satisfactory</v>
          </cell>
          <cell r="O45" t="str">
            <v>Satisfactory</v>
          </cell>
          <cell r="P45" t="str">
            <v>No intervention</v>
          </cell>
          <cell r="Q45" t="str">
            <v>Maintain</v>
          </cell>
          <cell r="R45">
            <v>14754.705</v>
          </cell>
          <cell r="S45">
            <v>19043.381999999998</v>
          </cell>
          <cell r="T45">
            <v>7121.0780000000004</v>
          </cell>
          <cell r="U45">
            <v>8061.241</v>
          </cell>
          <cell r="V45">
            <v>7273.857</v>
          </cell>
          <cell r="W45">
            <v>8233.8610000000008</v>
          </cell>
          <cell r="X45">
            <v>13.645999999999999</v>
          </cell>
          <cell r="Y45">
            <v>11.143000000000001</v>
          </cell>
          <cell r="Z45">
            <v>12.840999999999999</v>
          </cell>
          <cell r="AA45">
            <v>10.765000000000001</v>
          </cell>
          <cell r="AB45">
            <v>60</v>
          </cell>
          <cell r="AC45">
            <v>30</v>
          </cell>
          <cell r="AD45">
            <v>0.80500000000000005</v>
          </cell>
          <cell r="AE45">
            <v>0.378</v>
          </cell>
          <cell r="AF45">
            <v>4.468231987625976</v>
          </cell>
          <cell r="AG45">
            <v>2.4054131417341589</v>
          </cell>
          <cell r="AH45">
            <v>20657.496999999999</v>
          </cell>
          <cell r="AI45">
            <v>20300.458999999999</v>
          </cell>
        </row>
        <row r="46">
          <cell r="A46" t="str">
            <v>China</v>
          </cell>
          <cell r="B46">
            <v>156</v>
          </cell>
          <cell r="C46">
            <v>1982</v>
          </cell>
          <cell r="D46">
            <v>1982</v>
          </cell>
          <cell r="E46" t="str">
            <v>-</v>
          </cell>
          <cell r="F46" t="str">
            <v>-</v>
          </cell>
          <cell r="G46" t="str">
            <v>--</v>
          </cell>
          <cell r="H46" t="str">
            <v>--</v>
          </cell>
          <cell r="I46" t="str">
            <v>--</v>
          </cell>
          <cell r="J46" t="str">
            <v>Satisfactory</v>
          </cell>
          <cell r="K46" t="str">
            <v>Satisfactory</v>
          </cell>
          <cell r="L46" t="str">
            <v>Maintain</v>
          </cell>
          <cell r="M46" t="str">
            <v>No intervention</v>
          </cell>
          <cell r="N46" t="str">
            <v>Satisfactory</v>
          </cell>
          <cell r="O46" t="str">
            <v>Satisfactory</v>
          </cell>
          <cell r="P46" t="str">
            <v>Maintain</v>
          </cell>
          <cell r="Q46" t="str">
            <v>Maintain</v>
          </cell>
          <cell r="R46">
            <v>5769.6820000000007</v>
          </cell>
          <cell r="S46">
            <v>6506.98</v>
          </cell>
          <cell r="T46">
            <v>628309.10699999996</v>
          </cell>
          <cell r="U46">
            <v>675851.99100000004</v>
          </cell>
          <cell r="V46">
            <v>591022.32200000004</v>
          </cell>
          <cell r="W46">
            <v>639991.55299999996</v>
          </cell>
          <cell r="X46">
            <v>8.7669999999999995</v>
          </cell>
          <cell r="Y46">
            <v>6.4659999999999993</v>
          </cell>
          <cell r="Z46">
            <v>9.08</v>
          </cell>
          <cell r="AA46">
            <v>6.7669999999999995</v>
          </cell>
          <cell r="AB46">
            <v>-1950</v>
          </cell>
          <cell r="AC46">
            <v>-1950</v>
          </cell>
          <cell r="AD46">
            <v>-0.313</v>
          </cell>
          <cell r="AE46">
            <v>-0.30099999999999999</v>
          </cell>
          <cell r="AF46">
            <v>-1.9508400122008533</v>
          </cell>
          <cell r="AG46">
            <v>-2.2211735751695483</v>
          </cell>
          <cell r="AH46">
            <v>1392306.6570000001</v>
          </cell>
          <cell r="AI46">
            <v>1410171.9440000001</v>
          </cell>
        </row>
        <row r="47">
          <cell r="A47" t="str">
            <v>China, Hong Kong Special Administrative Region</v>
          </cell>
          <cell r="B47">
            <v>344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58335.951000000001</v>
          </cell>
          <cell r="S47">
            <v>64232.758000000002</v>
          </cell>
          <cell r="T47">
            <v>3074.0259999999998</v>
          </cell>
          <cell r="U47">
            <v>3313.3040000000001</v>
          </cell>
          <cell r="V47">
            <v>3112.5129999999999</v>
          </cell>
          <cell r="W47">
            <v>3727.5810000000001</v>
          </cell>
          <cell r="X47">
            <v>14.048999999999999</v>
          </cell>
          <cell r="Y47">
            <v>11.812999999999999</v>
          </cell>
          <cell r="Z47">
            <v>4.6909999999999998</v>
          </cell>
          <cell r="AA47">
            <v>3.04</v>
          </cell>
          <cell r="AB47">
            <v>300</v>
          </cell>
          <cell r="AC47">
            <v>300</v>
          </cell>
          <cell r="AD47">
            <v>9.3580000000000005</v>
          </cell>
          <cell r="AE47">
            <v>8.7729999999999997</v>
          </cell>
          <cell r="AF47">
            <v>95.166493780869615</v>
          </cell>
          <cell r="AG47">
            <v>105.27276172563111</v>
          </cell>
          <cell r="AH47">
            <v>9234.5949999999993</v>
          </cell>
          <cell r="AI47">
            <v>5858.4589999999998</v>
          </cell>
        </row>
        <row r="48">
          <cell r="A48" t="str">
            <v>China, Macao Special Administrative Region</v>
          </cell>
          <cell r="B48">
            <v>446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62620.415999999997</v>
          </cell>
          <cell r="S48">
            <v>73192.838000000003</v>
          </cell>
          <cell r="T48">
            <v>200.01400000000001</v>
          </cell>
          <cell r="U48">
            <v>221.416</v>
          </cell>
          <cell r="V48">
            <v>212.81800000000001</v>
          </cell>
          <cell r="W48">
            <v>238.74600000000001</v>
          </cell>
          <cell r="X48">
            <v>14.342000000000001</v>
          </cell>
          <cell r="Y48">
            <v>7.359</v>
          </cell>
          <cell r="Z48">
            <v>6.6820000000000004</v>
          </cell>
          <cell r="AA48">
            <v>2.9329999999999998</v>
          </cell>
          <cell r="AB48">
            <v>16.399999999999999</v>
          </cell>
          <cell r="AC48">
            <v>10</v>
          </cell>
          <cell r="AD48">
            <v>7.66</v>
          </cell>
          <cell r="AE48">
            <v>4.4260000000000002</v>
          </cell>
          <cell r="AF48">
            <v>70.343999313717077</v>
          </cell>
          <cell r="AG48">
            <v>60.812454390659212</v>
          </cell>
          <cell r="AH48">
            <v>519.55799999999999</v>
          </cell>
          <cell r="AI48">
            <v>397.58799999999997</v>
          </cell>
        </row>
        <row r="49">
          <cell r="A49" t="str">
            <v>Colombia</v>
          </cell>
          <cell r="B49">
            <v>170</v>
          </cell>
          <cell r="C49">
            <v>1961</v>
          </cell>
          <cell r="D49">
            <v>1980</v>
          </cell>
          <cell r="E49" t="str">
            <v>-</v>
          </cell>
          <cell r="F49" t="str">
            <v>-</v>
          </cell>
          <cell r="G49">
            <v>1995</v>
          </cell>
          <cell r="H49">
            <v>2004</v>
          </cell>
          <cell r="I49" t="str">
            <v>--</v>
          </cell>
          <cell r="J49" t="str">
            <v>Satisfactory</v>
          </cell>
          <cell r="K49" t="str">
            <v>Satisfactory</v>
          </cell>
          <cell r="L49" t="str">
            <v>No intervention</v>
          </cell>
          <cell r="M49" t="str">
            <v>Maintain</v>
          </cell>
          <cell r="N49" t="str">
            <v>Too high</v>
          </cell>
          <cell r="O49" t="str">
            <v>Too high</v>
          </cell>
          <cell r="P49" t="str">
            <v>Lower</v>
          </cell>
          <cell r="Q49" t="str">
            <v>Lower</v>
          </cell>
          <cell r="R49">
            <v>4192.9790000000003</v>
          </cell>
          <cell r="S49">
            <v>4833.2659999999996</v>
          </cell>
          <cell r="T49">
            <v>19049.126</v>
          </cell>
          <cell r="U49">
            <v>22530.208999999999</v>
          </cell>
          <cell r="V49">
            <v>19492.498</v>
          </cell>
          <cell r="W49">
            <v>23070.035</v>
          </cell>
          <cell r="X49">
            <v>17.745000000000001</v>
          </cell>
          <cell r="Y49">
            <v>15.868999999999998</v>
          </cell>
          <cell r="Z49">
            <v>18.736999999999998</v>
          </cell>
          <cell r="AA49">
            <v>16.780999999999999</v>
          </cell>
          <cell r="AB49">
            <v>-200</v>
          </cell>
          <cell r="AC49">
            <v>-200</v>
          </cell>
          <cell r="AD49">
            <v>-0.99199999999999999</v>
          </cell>
          <cell r="AE49">
            <v>-0.91200000000000003</v>
          </cell>
          <cell r="AF49">
            <v>-4.0564314517846469</v>
          </cell>
          <cell r="AG49">
            <v>-4.1042891668723946</v>
          </cell>
          <cell r="AH49">
            <v>65679.178</v>
          </cell>
          <cell r="AI49">
            <v>68290.914000000004</v>
          </cell>
        </row>
        <row r="50">
          <cell r="A50" t="str">
            <v>Comoros</v>
          </cell>
          <cell r="B50">
            <v>174</v>
          </cell>
          <cell r="C50" t="str">
            <v>--</v>
          </cell>
          <cell r="D50" t="str">
            <v>--</v>
          </cell>
          <cell r="E50" t="str">
            <v>-</v>
          </cell>
          <cell r="F50" t="str">
            <v>-</v>
          </cell>
          <cell r="G50" t="str">
            <v>--</v>
          </cell>
          <cell r="H50" t="str">
            <v>--</v>
          </cell>
          <cell r="I50" t="str">
            <v>--</v>
          </cell>
          <cell r="J50" t="str">
            <v>Satisfactory</v>
          </cell>
          <cell r="K50" t="str">
            <v>Satisfactory</v>
          </cell>
          <cell r="L50" t="str">
            <v>No intervention</v>
          </cell>
          <cell r="M50" t="str">
            <v>No intervention</v>
          </cell>
          <cell r="N50" t="str">
            <v>Satisfactory</v>
          </cell>
          <cell r="O50" t="str">
            <v>Satisfactory</v>
          </cell>
          <cell r="P50" t="str">
            <v>No intervention</v>
          </cell>
          <cell r="Q50" t="str">
            <v>No intervention</v>
          </cell>
          <cell r="R50">
            <v>2434.931</v>
          </cell>
          <cell r="S50">
            <v>4495.8230000000003</v>
          </cell>
          <cell r="T50">
            <v>304.02100000000002</v>
          </cell>
          <cell r="U50">
            <v>400.29300000000001</v>
          </cell>
          <cell r="V50">
            <v>303.096</v>
          </cell>
          <cell r="W50">
            <v>397.60899999999998</v>
          </cell>
          <cell r="X50">
            <v>28.15</v>
          </cell>
          <cell r="Y50">
            <v>26.417999999999999</v>
          </cell>
          <cell r="Z50">
            <v>29.987000000000002</v>
          </cell>
          <cell r="AA50">
            <v>29.09</v>
          </cell>
          <cell r="AB50">
            <v>-6</v>
          </cell>
          <cell r="AC50">
            <v>-10</v>
          </cell>
          <cell r="AD50">
            <v>-1.837</v>
          </cell>
          <cell r="AE50">
            <v>-2.6720000000000002</v>
          </cell>
          <cell r="AF50">
            <v>-4.7716753352101922</v>
          </cell>
          <cell r="AG50">
            <v>-7.3154494977943925</v>
          </cell>
          <cell r="AH50">
            <v>1780.857</v>
          </cell>
          <cell r="AI50">
            <v>1847.153</v>
          </cell>
        </row>
        <row r="51">
          <cell r="A51" t="str">
            <v>Congo</v>
          </cell>
          <cell r="B51">
            <v>178</v>
          </cell>
          <cell r="C51">
            <v>1962</v>
          </cell>
          <cell r="D51">
            <v>1970</v>
          </cell>
          <cell r="E51" t="str">
            <v>-</v>
          </cell>
          <cell r="F51" t="str">
            <v>-</v>
          </cell>
          <cell r="G51" t="str">
            <v>--</v>
          </cell>
          <cell r="H51" t="str">
            <v>--</v>
          </cell>
          <cell r="I51" t="str">
            <v>--</v>
          </cell>
          <cell r="J51" t="str">
            <v>Satisfactory</v>
          </cell>
          <cell r="K51" t="str">
            <v>Satisfactory</v>
          </cell>
          <cell r="L51" t="str">
            <v>Lower</v>
          </cell>
          <cell r="M51" t="str">
            <v>No intervention</v>
          </cell>
          <cell r="N51" t="str">
            <v>Satisfactory</v>
          </cell>
          <cell r="O51" t="str">
            <v>Satisfactory</v>
          </cell>
          <cell r="P51" t="str">
            <v>No intervention</v>
          </cell>
          <cell r="Q51" t="str">
            <v>No intervention</v>
          </cell>
          <cell r="R51">
            <v>22918.446</v>
          </cell>
          <cell r="S51">
            <v>26593.123</v>
          </cell>
          <cell r="T51">
            <v>1439.049</v>
          </cell>
          <cell r="U51">
            <v>1983.096</v>
          </cell>
          <cell r="V51">
            <v>1476.5450000000001</v>
          </cell>
          <cell r="W51">
            <v>2015.808</v>
          </cell>
          <cell r="X51">
            <v>32.877000000000002</v>
          </cell>
          <cell r="Y51">
            <v>30.18</v>
          </cell>
          <cell r="Z51">
            <v>30.261000000000003</v>
          </cell>
          <cell r="AA51">
            <v>30.933</v>
          </cell>
          <cell r="AB51">
            <v>41.552</v>
          </cell>
          <cell r="AC51">
            <v>-14</v>
          </cell>
          <cell r="AD51">
            <v>2.6160000000000001</v>
          </cell>
          <cell r="AE51">
            <v>-0.753</v>
          </cell>
          <cell r="AF51">
            <v>5.9378492158986651</v>
          </cell>
          <cell r="AG51">
            <v>-1.7069819218421749</v>
          </cell>
          <cell r="AH51">
            <v>13720.878000000001</v>
          </cell>
          <cell r="AI51">
            <v>13887.059000000001</v>
          </cell>
        </row>
        <row r="52">
          <cell r="A52" t="str">
            <v>Cook Islands</v>
          </cell>
          <cell r="B52">
            <v>184</v>
          </cell>
          <cell r="C52" t="str">
            <v>--</v>
          </cell>
          <cell r="D52" t="str">
            <v>--</v>
          </cell>
          <cell r="E52" t="str">
            <v>-</v>
          </cell>
          <cell r="F52" t="str">
            <v>-</v>
          </cell>
          <cell r="G52" t="str">
            <v>--</v>
          </cell>
          <cell r="H52" t="str">
            <v>--</v>
          </cell>
          <cell r="I52" t="str">
            <v>--</v>
          </cell>
          <cell r="J52" t="str">
            <v>Satisfactory</v>
          </cell>
          <cell r="K52" t="str">
            <v>Satisfactory</v>
          </cell>
          <cell r="L52" t="str">
            <v>No intervention</v>
          </cell>
          <cell r="M52" t="str">
            <v>Lower</v>
          </cell>
          <cell r="N52" t="str">
            <v>Too high</v>
          </cell>
          <cell r="O52" t="str">
            <v>Too high</v>
          </cell>
          <cell r="P52" t="str">
            <v>Lower</v>
          </cell>
          <cell r="Q52" t="str">
            <v>Lower</v>
          </cell>
          <cell r="R52">
            <v>73163.45</v>
          </cell>
          <cell r="S52">
            <v>84238.231</v>
          </cell>
          <cell r="T52">
            <v>10.340999999999999</v>
          </cell>
          <cell r="U52">
            <v>9.1709999999999994</v>
          </cell>
          <cell r="V52">
            <v>9.6140000000000008</v>
          </cell>
          <cell r="W52">
            <v>8.7829999999999995</v>
          </cell>
          <cell r="X52">
            <v>-11.613</v>
          </cell>
          <cell r="Y52">
            <v>-9.5150000000000006</v>
          </cell>
          <cell r="Z52">
            <v>18.202999999999999</v>
          </cell>
          <cell r="AA52">
            <v>12.234</v>
          </cell>
          <cell r="AB52">
            <v>-2.891</v>
          </cell>
          <cell r="AC52">
            <v>-2</v>
          </cell>
          <cell r="AD52">
            <v>-29.815999999999999</v>
          </cell>
          <cell r="AE52">
            <v>-21.748999999999999</v>
          </cell>
          <cell r="AF52">
            <v>-117.95185638514891</v>
          </cell>
          <cell r="AG52">
            <v>-111.48272017837235</v>
          </cell>
          <cell r="AH52">
            <v>11.705</v>
          </cell>
          <cell r="AI52">
            <v>24.170999999999999</v>
          </cell>
        </row>
        <row r="53">
          <cell r="A53" t="str">
            <v>Costa Rica</v>
          </cell>
          <cell r="B53">
            <v>188</v>
          </cell>
          <cell r="C53">
            <v>1978</v>
          </cell>
          <cell r="D53">
            <v>1978</v>
          </cell>
          <cell r="E53" t="str">
            <v>-</v>
          </cell>
          <cell r="F53" t="str">
            <v>-</v>
          </cell>
          <cell r="G53" t="str">
            <v>--</v>
          </cell>
          <cell r="H53">
            <v>2003</v>
          </cell>
          <cell r="I53">
            <v>2003</v>
          </cell>
          <cell r="J53" t="str">
            <v>Too high</v>
          </cell>
          <cell r="K53" t="str">
            <v>Satisfactory</v>
          </cell>
          <cell r="L53" t="str">
            <v>Lower</v>
          </cell>
          <cell r="M53" t="str">
            <v>Maintain</v>
          </cell>
          <cell r="N53" t="str">
            <v>Satisfactory</v>
          </cell>
          <cell r="O53" t="str">
            <v>Satisfactory</v>
          </cell>
          <cell r="P53" t="str">
            <v>No intervention</v>
          </cell>
          <cell r="Q53" t="str">
            <v>No intervention</v>
          </cell>
          <cell r="R53">
            <v>15218.67</v>
          </cell>
          <cell r="S53">
            <v>20974.654999999999</v>
          </cell>
          <cell r="T53">
            <v>1767.5640000000001</v>
          </cell>
          <cell r="U53">
            <v>2199.7840000000001</v>
          </cell>
          <cell r="V53">
            <v>1707.3330000000001</v>
          </cell>
          <cell r="W53">
            <v>2127.444</v>
          </cell>
          <cell r="X53">
            <v>24.524000000000001</v>
          </cell>
          <cell r="Y53">
            <v>19.304000000000002</v>
          </cell>
          <cell r="Z53">
            <v>17.634</v>
          </cell>
          <cell r="AA53">
            <v>15.234000000000002</v>
          </cell>
          <cell r="AB53">
            <v>127.521</v>
          </cell>
          <cell r="AC53">
            <v>84</v>
          </cell>
          <cell r="AD53">
            <v>6.89</v>
          </cell>
          <cell r="AE53">
            <v>4.07</v>
          </cell>
          <cell r="AF53">
            <v>32.125690273690999</v>
          </cell>
          <cell r="AG53">
            <v>21.292343881492897</v>
          </cell>
          <cell r="AH53">
            <v>6425.9880000000003</v>
          </cell>
          <cell r="AI53">
            <v>6040.558</v>
          </cell>
        </row>
        <row r="54">
          <cell r="A54" t="str">
            <v>Côte d'Ivoire</v>
          </cell>
          <cell r="B54">
            <v>384</v>
          </cell>
          <cell r="C54">
            <v>1961</v>
          </cell>
          <cell r="D54">
            <v>1970</v>
          </cell>
          <cell r="E54" t="str">
            <v>-</v>
          </cell>
          <cell r="F54" t="str">
            <v>-</v>
          </cell>
          <cell r="G54" t="str">
            <v>--</v>
          </cell>
          <cell r="H54" t="str">
            <v>--</v>
          </cell>
          <cell r="I54" t="str">
            <v>--</v>
          </cell>
          <cell r="J54" t="str">
            <v>Too high</v>
          </cell>
          <cell r="K54" t="str">
            <v>Too high</v>
          </cell>
          <cell r="L54" t="str">
            <v>Lower</v>
          </cell>
          <cell r="M54" t="str">
            <v>Lower</v>
          </cell>
          <cell r="N54" t="str">
            <v>Satisfactory</v>
          </cell>
          <cell r="O54" t="str">
            <v>Satisfactory</v>
          </cell>
          <cell r="P54" t="str">
            <v>Maintain</v>
          </cell>
          <cell r="Q54" t="str">
            <v>No intervention</v>
          </cell>
          <cell r="R54">
            <v>3133.0650000000001</v>
          </cell>
          <cell r="S54">
            <v>3129.6779999999999</v>
          </cell>
          <cell r="T54">
            <v>7569.4750000000004</v>
          </cell>
          <cell r="U54">
            <v>9230.2430000000004</v>
          </cell>
          <cell r="V54">
            <v>7185.83</v>
          </cell>
          <cell r="W54">
            <v>8923.6239999999998</v>
          </cell>
          <cell r="X54">
            <v>25.146000000000001</v>
          </cell>
          <cell r="Y54">
            <v>16.268000000000001</v>
          </cell>
          <cell r="Z54">
            <v>23.241</v>
          </cell>
          <cell r="AA54">
            <v>20.523</v>
          </cell>
          <cell r="AB54">
            <v>150</v>
          </cell>
          <cell r="AC54">
            <v>-371.15899999999999</v>
          </cell>
          <cell r="AD54">
            <v>1.905</v>
          </cell>
          <cell r="AE54">
            <v>-4.2549999999999999</v>
          </cell>
          <cell r="AF54">
            <v>4.863051603785788</v>
          </cell>
          <cell r="AG54">
            <v>-11.334559750905306</v>
          </cell>
          <cell r="AH54">
            <v>33958.881999999998</v>
          </cell>
          <cell r="AI54">
            <v>33956.323000000004</v>
          </cell>
        </row>
        <row r="55">
          <cell r="A55" t="str">
            <v>Croatia</v>
          </cell>
          <cell r="B55">
            <v>191</v>
          </cell>
          <cell r="C55">
            <v>1992</v>
          </cell>
          <cell r="D55">
            <v>1992</v>
          </cell>
          <cell r="E55" t="str">
            <v>-</v>
          </cell>
          <cell r="F55" t="str">
            <v>-</v>
          </cell>
          <cell r="G55" t="str">
            <v>--</v>
          </cell>
          <cell r="H55">
            <v>2003</v>
          </cell>
          <cell r="I55">
            <v>2003</v>
          </cell>
          <cell r="J55" t="str">
            <v>Satisfactory</v>
          </cell>
          <cell r="K55" t="str">
            <v>Satisfactory</v>
          </cell>
          <cell r="L55" t="str">
            <v>No intervention</v>
          </cell>
          <cell r="M55" t="str">
            <v>Maintain</v>
          </cell>
          <cell r="N55" t="str">
            <v>Too high</v>
          </cell>
          <cell r="O55" t="str">
            <v>Too high</v>
          </cell>
          <cell r="P55" t="str">
            <v>Lower</v>
          </cell>
          <cell r="Q55" t="str">
            <v>Lower</v>
          </cell>
          <cell r="R55">
            <v>28270.78</v>
          </cell>
          <cell r="S55">
            <v>32853.798000000003</v>
          </cell>
          <cell r="T55">
            <v>2250.2260000000001</v>
          </cell>
          <cell r="U55">
            <v>2190.7510000000002</v>
          </cell>
          <cell r="V55">
            <v>2418.7759999999998</v>
          </cell>
          <cell r="W55">
            <v>2360.587</v>
          </cell>
          <cell r="X55">
            <v>-7.133</v>
          </cell>
          <cell r="Y55">
            <v>2.0280000000000005</v>
          </cell>
          <cell r="Z55">
            <v>-0.59299999999999997</v>
          </cell>
          <cell r="AA55">
            <v>-2.3889999999999993</v>
          </cell>
          <cell r="AB55">
            <v>-150</v>
          </cell>
          <cell r="AC55">
            <v>100</v>
          </cell>
          <cell r="AD55">
            <v>-6.54</v>
          </cell>
          <cell r="AE55">
            <v>4.4169999999999998</v>
          </cell>
          <cell r="AF55">
            <v>-62.448739992589417</v>
          </cell>
          <cell r="AG55">
            <v>48.553352851781177</v>
          </cell>
          <cell r="AH55">
            <v>3685.55</v>
          </cell>
          <cell r="AI55">
            <v>3645.192</v>
          </cell>
        </row>
        <row r="56">
          <cell r="A56" t="str">
            <v>Cuba</v>
          </cell>
          <cell r="B56">
            <v>192</v>
          </cell>
          <cell r="C56" t="str">
            <v>--</v>
          </cell>
          <cell r="D56" t="str">
            <v>--</v>
          </cell>
          <cell r="E56">
            <v>1952</v>
          </cell>
          <cell r="F56" t="str">
            <v>-</v>
          </cell>
          <cell r="G56" t="str">
            <v>--</v>
          </cell>
          <cell r="H56" t="str">
            <v>--</v>
          </cell>
          <cell r="I56" t="str">
            <v>--</v>
          </cell>
          <cell r="J56" t="str">
            <v>Satisfactory</v>
          </cell>
          <cell r="K56" t="str">
            <v>Satisfactory</v>
          </cell>
          <cell r="L56" t="str">
            <v>Maintain</v>
          </cell>
          <cell r="M56" t="str">
            <v>Maintain</v>
          </cell>
          <cell r="N56" t="str">
            <v>Satisfactory</v>
          </cell>
          <cell r="O56" t="str">
            <v>Satisfactory</v>
          </cell>
          <cell r="P56" t="str">
            <v>Maintain</v>
          </cell>
          <cell r="Q56" t="str">
            <v>Maintain</v>
          </cell>
          <cell r="R56">
            <v>53.016999999999996</v>
          </cell>
          <cell r="S56">
            <v>64.869</v>
          </cell>
          <cell r="T56">
            <v>5453.5050000000001</v>
          </cell>
          <cell r="U56">
            <v>5639.3720000000003</v>
          </cell>
          <cell r="V56">
            <v>5413.2759999999998</v>
          </cell>
          <cell r="W56">
            <v>5630.0280000000002</v>
          </cell>
          <cell r="X56">
            <v>4.6900000000000004</v>
          </cell>
          <cell r="Y56">
            <v>2.585</v>
          </cell>
          <cell r="Z56">
            <v>6.5090000000000003</v>
          </cell>
          <cell r="AA56">
            <v>5.4430000000000005</v>
          </cell>
          <cell r="AB56">
            <v>-100</v>
          </cell>
          <cell r="AC56">
            <v>-160</v>
          </cell>
          <cell r="AD56">
            <v>-1.819</v>
          </cell>
          <cell r="AE56">
            <v>-2.8580000000000001</v>
          </cell>
          <cell r="AF56">
            <v>-13.738415081482541</v>
          </cell>
          <cell r="AG56">
            <v>-22.971409209812236</v>
          </cell>
          <cell r="AH56">
            <v>9748.9930000000004</v>
          </cell>
          <cell r="AI56">
            <v>11273.366</v>
          </cell>
        </row>
        <row r="57">
          <cell r="A57" t="str">
            <v>Cyprus</v>
          </cell>
          <cell r="B57">
            <v>196</v>
          </cell>
          <cell r="C57">
            <v>1963</v>
          </cell>
          <cell r="D57">
            <v>1968</v>
          </cell>
          <cell r="E57">
            <v>1960</v>
          </cell>
          <cell r="F57">
            <v>1977</v>
          </cell>
          <cell r="G57" t="str">
            <v>--</v>
          </cell>
          <cell r="H57">
            <v>2003</v>
          </cell>
          <cell r="I57">
            <v>2003</v>
          </cell>
          <cell r="J57" t="str">
            <v>Satisfactory</v>
          </cell>
          <cell r="K57" t="str">
            <v>Too high</v>
          </cell>
          <cell r="L57" t="str">
            <v>Lower</v>
          </cell>
          <cell r="M57" t="str">
            <v>Lower</v>
          </cell>
          <cell r="N57" t="str">
            <v>Satisfactory</v>
          </cell>
          <cell r="O57" t="str">
            <v>Satisfactory</v>
          </cell>
          <cell r="P57" t="str">
            <v>Lower</v>
          </cell>
          <cell r="Q57" t="str">
            <v>Maintain</v>
          </cell>
          <cell r="R57">
            <v>64.260999999999996</v>
          </cell>
          <cell r="S57">
            <v>67.15100000000001</v>
          </cell>
          <cell r="T57">
            <v>364.87</v>
          </cell>
          <cell r="U57">
            <v>406.37099999999998</v>
          </cell>
          <cell r="V57">
            <v>366.14600000000002</v>
          </cell>
          <cell r="W57">
            <v>428.93599999999998</v>
          </cell>
          <cell r="X57">
            <v>14.584</v>
          </cell>
          <cell r="Y57">
            <v>12.077999999999999</v>
          </cell>
          <cell r="Z57">
            <v>6.9560000000000004</v>
          </cell>
          <cell r="AA57">
            <v>4.9409999999999998</v>
          </cell>
          <cell r="AB57">
            <v>28.936</v>
          </cell>
          <cell r="AC57">
            <v>28.936</v>
          </cell>
          <cell r="AD57">
            <v>7.6280000000000001</v>
          </cell>
          <cell r="AE57">
            <v>7.1369999999999996</v>
          </cell>
          <cell r="AF57">
            <v>54.422689913295343</v>
          </cell>
          <cell r="AG57">
            <v>58.817790064232867</v>
          </cell>
          <cell r="AH57">
            <v>1174.3890000000001</v>
          </cell>
          <cell r="AI57">
            <v>871.88900000000001</v>
          </cell>
        </row>
        <row r="58">
          <cell r="A58" t="str">
            <v>Czech Republic</v>
          </cell>
          <cell r="B58">
            <v>203</v>
          </cell>
          <cell r="C58">
            <v>1993</v>
          </cell>
          <cell r="D58">
            <v>1993</v>
          </cell>
          <cell r="E58" t="str">
            <v>-</v>
          </cell>
          <cell r="F58" t="str">
            <v>-</v>
          </cell>
          <cell r="G58" t="str">
            <v>--</v>
          </cell>
          <cell r="H58" t="str">
            <v>--</v>
          </cell>
          <cell r="I58" t="str">
            <v>--</v>
          </cell>
          <cell r="J58" t="str">
            <v>Satisfactory</v>
          </cell>
          <cell r="K58" t="str">
            <v>Too low</v>
          </cell>
          <cell r="L58" t="str">
            <v>Maintain</v>
          </cell>
          <cell r="M58" t="str">
            <v>Raise</v>
          </cell>
          <cell r="N58" t="str">
            <v>Satisfactory</v>
          </cell>
          <cell r="O58" t="str">
            <v>Satisfactory</v>
          </cell>
          <cell r="P58" t="str">
            <v>No intervention</v>
          </cell>
          <cell r="Q58" t="str">
            <v>No intervention</v>
          </cell>
          <cell r="R58">
            <v>12279.707</v>
          </cell>
          <cell r="S58">
            <v>15941.392</v>
          </cell>
          <cell r="T58">
            <v>5020.1629999999996</v>
          </cell>
          <cell r="U58">
            <v>4974.7160000000003</v>
          </cell>
          <cell r="V58">
            <v>5310.5959999999995</v>
          </cell>
          <cell r="W58">
            <v>5244.8869999999997</v>
          </cell>
          <cell r="X58">
            <v>-1.2340000000000002</v>
          </cell>
          <cell r="Y58">
            <v>-0.93100000000000005</v>
          </cell>
          <cell r="Z58">
            <v>-2.2370000000000001</v>
          </cell>
          <cell r="AA58">
            <v>-1.907</v>
          </cell>
          <cell r="AB58">
            <v>51.673000000000002</v>
          </cell>
          <cell r="AC58">
            <v>50</v>
          </cell>
          <cell r="AD58">
            <v>1.0029999999999999</v>
          </cell>
          <cell r="AE58">
            <v>0.97599999999999998</v>
          </cell>
          <cell r="AF58">
            <v>11.450699699732974</v>
          </cell>
          <cell r="AG58">
            <v>11.001705264315968</v>
          </cell>
          <cell r="AH58">
            <v>8452.1090000000004</v>
          </cell>
          <cell r="AI58">
            <v>8061.1450000000004</v>
          </cell>
        </row>
        <row r="59">
          <cell r="A59" t="str">
            <v>Democratic People's Republic of Korea</v>
          </cell>
          <cell r="B59">
            <v>408</v>
          </cell>
          <cell r="C59" t="str">
            <v>--</v>
          </cell>
          <cell r="D59" t="str">
            <v>--</v>
          </cell>
          <cell r="E59" t="str">
            <v>-</v>
          </cell>
          <cell r="F59" t="str">
            <v>-</v>
          </cell>
          <cell r="G59" t="str">
            <v>--</v>
          </cell>
          <cell r="H59" t="str">
            <v>--</v>
          </cell>
          <cell r="I59" t="str">
            <v>--</v>
          </cell>
          <cell r="J59" t="str">
            <v>Satisfactory</v>
          </cell>
          <cell r="K59" t="str">
            <v>Satisfactory</v>
          </cell>
          <cell r="L59" t="str">
            <v>Maintain</v>
          </cell>
          <cell r="M59" t="str">
            <v>Maintain</v>
          </cell>
          <cell r="N59" t="str">
            <v>Satisfactory</v>
          </cell>
          <cell r="O59" t="str">
            <v>Satisfactory</v>
          </cell>
          <cell r="P59" t="str">
            <v>Maintain</v>
          </cell>
          <cell r="Q59" t="str">
            <v>Maintain</v>
          </cell>
          <cell r="R59">
            <v>10.313000000000001</v>
          </cell>
          <cell r="S59">
            <v>12.205</v>
          </cell>
          <cell r="T59">
            <v>10529.516</v>
          </cell>
          <cell r="U59">
            <v>11232.781000000001</v>
          </cell>
          <cell r="V59">
            <v>10388.879999999999</v>
          </cell>
          <cell r="W59">
            <v>11254.88</v>
          </cell>
          <cell r="X59">
            <v>8.8240000000000016</v>
          </cell>
          <cell r="Y59">
            <v>5.6410000000000018</v>
          </cell>
          <cell r="Z59">
            <v>8.8240000000000016</v>
          </cell>
          <cell r="AA59">
            <v>5.6410000000000018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24192.089</v>
          </cell>
          <cell r="AI59">
            <v>24192.089</v>
          </cell>
        </row>
        <row r="60">
          <cell r="A60" t="str">
            <v>Democratic Republic of the Congo</v>
          </cell>
          <cell r="B60">
            <v>180</v>
          </cell>
          <cell r="C60">
            <v>1965</v>
          </cell>
          <cell r="D60">
            <v>1975</v>
          </cell>
          <cell r="E60" t="str">
            <v>-</v>
          </cell>
          <cell r="F60" t="str">
            <v>-</v>
          </cell>
          <cell r="G60" t="str">
            <v>--</v>
          </cell>
          <cell r="H60">
            <v>2005</v>
          </cell>
          <cell r="I60">
            <v>2005</v>
          </cell>
          <cell r="J60" t="str">
            <v>Satisfactory</v>
          </cell>
          <cell r="K60" t="str">
            <v>Satisfactory</v>
          </cell>
          <cell r="L60" t="str">
            <v>Lower</v>
          </cell>
          <cell r="M60" t="str">
            <v>Lower</v>
          </cell>
          <cell r="N60" t="str">
            <v>Satisfactory</v>
          </cell>
          <cell r="O60" t="str">
            <v>Satisfactory</v>
          </cell>
          <cell r="P60" t="str">
            <v>No intervention</v>
          </cell>
          <cell r="Q60" t="str">
            <v>No intervention</v>
          </cell>
          <cell r="R60">
            <v>69.606999999999999</v>
          </cell>
          <cell r="S60">
            <v>81.484999999999999</v>
          </cell>
          <cell r="T60">
            <v>22209.9</v>
          </cell>
          <cell r="U60">
            <v>28541.651000000002</v>
          </cell>
          <cell r="V60">
            <v>22788.661</v>
          </cell>
          <cell r="W60">
            <v>29007.093000000001</v>
          </cell>
          <cell r="X60">
            <v>21.266000000000002</v>
          </cell>
          <cell r="Y60">
            <v>27.868000000000002</v>
          </cell>
          <cell r="Z60">
            <v>27.201000000000001</v>
          </cell>
          <cell r="AA60">
            <v>29.063000000000002</v>
          </cell>
          <cell r="AB60">
            <v>-1410.32</v>
          </cell>
          <cell r="AC60">
            <v>-321.565</v>
          </cell>
          <cell r="AD60">
            <v>-5.9349999999999996</v>
          </cell>
          <cell r="AE60">
            <v>-1.1950000000000001</v>
          </cell>
          <cell r="AF60">
            <v>-12.113662906528393</v>
          </cell>
          <cell r="AG60">
            <v>-2.4173697297333057</v>
          </cell>
          <cell r="AH60">
            <v>177271.02</v>
          </cell>
          <cell r="AI60">
            <v>178006.40899999999</v>
          </cell>
        </row>
        <row r="61">
          <cell r="A61" t="str">
            <v>East Timor</v>
          </cell>
          <cell r="B61">
            <v>626</v>
          </cell>
          <cell r="C61">
            <v>2003</v>
          </cell>
          <cell r="D61">
            <v>2003</v>
          </cell>
          <cell r="E61" t="str">
            <v>-</v>
          </cell>
          <cell r="F61" t="str">
            <v>-</v>
          </cell>
          <cell r="G61">
            <v>2004</v>
          </cell>
          <cell r="H61" t="str">
            <v>--</v>
          </cell>
          <cell r="I61" t="str">
            <v>--</v>
          </cell>
          <cell r="J61" t="str">
            <v>..</v>
          </cell>
          <cell r="K61" t="str">
            <v>Satisfactory</v>
          </cell>
          <cell r="L61" t="str">
            <v>..</v>
          </cell>
          <cell r="M61" t="str">
            <v>Maintain</v>
          </cell>
          <cell r="N61" t="str">
            <v>..</v>
          </cell>
          <cell r="O61" t="str">
            <v>Satisfactory</v>
          </cell>
          <cell r="P61" t="str">
            <v>..</v>
          </cell>
          <cell r="Q61" t="str">
            <v>No intervention</v>
          </cell>
          <cell r="R61">
            <v>34834.902000000002</v>
          </cell>
          <cell r="S61">
            <v>38747.148000000001</v>
          </cell>
          <cell r="T61">
            <v>435.625</v>
          </cell>
          <cell r="U61">
            <v>491.74900000000002</v>
          </cell>
          <cell r="V61">
            <v>411.96100000000001</v>
          </cell>
          <cell r="W61">
            <v>455.315</v>
          </cell>
          <cell r="X61">
            <v>-31.978000000000002</v>
          </cell>
          <cell r="Y61">
            <v>53.91</v>
          </cell>
          <cell r="Z61">
            <v>18.988</v>
          </cell>
          <cell r="AA61">
            <v>34.739000000000004</v>
          </cell>
          <cell r="AB61">
            <v>-200</v>
          </cell>
          <cell r="AC61">
            <v>80</v>
          </cell>
          <cell r="AD61">
            <v>-50.966000000000001</v>
          </cell>
          <cell r="AE61">
            <v>19.170999999999999</v>
          </cell>
          <cell r="AF61">
            <v>-163.69559167771612</v>
          </cell>
          <cell r="AG61">
            <v>40.480708412397213</v>
          </cell>
          <cell r="AH61">
            <v>3264.951</v>
          </cell>
          <cell r="AI61">
            <v>2942.2879999999996</v>
          </cell>
        </row>
        <row r="62">
          <cell r="A62" t="str">
            <v>Denmark</v>
          </cell>
          <cell r="B62">
            <v>208</v>
          </cell>
          <cell r="C62">
            <v>1952</v>
          </cell>
          <cell r="D62">
            <v>1968</v>
          </cell>
          <cell r="E62" t="str">
            <v>-</v>
          </cell>
          <cell r="F62" t="str">
            <v>-</v>
          </cell>
          <cell r="G62" t="str">
            <v>--</v>
          </cell>
          <cell r="H62">
            <v>2003</v>
          </cell>
          <cell r="I62" t="str">
            <v>--</v>
          </cell>
          <cell r="J62" t="str">
            <v>Too high</v>
          </cell>
          <cell r="K62" t="str">
            <v>Too high</v>
          </cell>
          <cell r="L62" t="str">
            <v>Lower</v>
          </cell>
          <cell r="M62" t="str">
            <v>Lower</v>
          </cell>
          <cell r="N62" t="str">
            <v>Satisfactory</v>
          </cell>
          <cell r="O62" t="str">
            <v>Satisfactory</v>
          </cell>
          <cell r="P62" t="str">
            <v>No intervention</v>
          </cell>
          <cell r="Q62" t="str">
            <v>No intervention</v>
          </cell>
          <cell r="R62">
            <v>84.293000000000006</v>
          </cell>
          <cell r="S62">
            <v>99.468000000000004</v>
          </cell>
          <cell r="T62">
            <v>2579.828</v>
          </cell>
          <cell r="U62">
            <v>2687.6770000000001</v>
          </cell>
          <cell r="V62">
            <v>2648.0329999999999</v>
          </cell>
          <cell r="W62">
            <v>2742.913</v>
          </cell>
          <cell r="X62">
            <v>4.229000000000001</v>
          </cell>
          <cell r="Y62">
            <v>3.379</v>
          </cell>
          <cell r="Z62">
            <v>1.0680000000000014</v>
          </cell>
          <cell r="AA62">
            <v>1.1280000000000001</v>
          </cell>
          <cell r="AB62">
            <v>83.507999999999996</v>
          </cell>
          <cell r="AC62">
            <v>60.613</v>
          </cell>
          <cell r="AD62">
            <v>3.161</v>
          </cell>
          <cell r="AE62">
            <v>2.2509999999999999</v>
          </cell>
          <cell r="AF62">
            <v>25.101976403396709</v>
          </cell>
          <cell r="AG62">
            <v>18.852308601464941</v>
          </cell>
          <cell r="AH62">
            <v>5851.2370000000001</v>
          </cell>
          <cell r="AI62">
            <v>5077.5619999999999</v>
          </cell>
        </row>
        <row r="63">
          <cell r="A63" t="str">
            <v>Djibouti</v>
          </cell>
          <cell r="B63">
            <v>262</v>
          </cell>
          <cell r="C63">
            <v>1977</v>
          </cell>
          <cell r="D63">
            <v>1977</v>
          </cell>
          <cell r="E63" t="str">
            <v>-</v>
          </cell>
          <cell r="F63" t="str">
            <v>-</v>
          </cell>
          <cell r="G63" t="str">
            <v>--</v>
          </cell>
          <cell r="H63">
            <v>2005</v>
          </cell>
          <cell r="I63">
            <v>2005</v>
          </cell>
          <cell r="J63" t="str">
            <v>Too high</v>
          </cell>
          <cell r="K63" t="str">
            <v>Too high</v>
          </cell>
          <cell r="L63" t="str">
            <v>Lower</v>
          </cell>
          <cell r="M63" t="str">
            <v>Lower</v>
          </cell>
          <cell r="N63" t="str">
            <v>Satisfactory</v>
          </cell>
          <cell r="O63" t="str">
            <v>Satisfactory</v>
          </cell>
          <cell r="P63" t="str">
            <v>No intervention</v>
          </cell>
          <cell r="Q63" t="str">
            <v>No intervention</v>
          </cell>
          <cell r="R63">
            <v>17940.709000000003</v>
          </cell>
          <cell r="S63">
            <v>20155.129000000001</v>
          </cell>
          <cell r="T63">
            <v>303.73</v>
          </cell>
          <cell r="U63">
            <v>396.476</v>
          </cell>
          <cell r="V63">
            <v>305.00099999999998</v>
          </cell>
          <cell r="W63">
            <v>396.60199999999998</v>
          </cell>
          <cell r="X63">
            <v>31.993000000000002</v>
          </cell>
          <cell r="Y63">
            <v>20.828000000000003</v>
          </cell>
          <cell r="Z63">
            <v>25.862000000000002</v>
          </cell>
          <cell r="AA63">
            <v>23.426000000000002</v>
          </cell>
          <cell r="AB63">
            <v>20.283999999999999</v>
          </cell>
          <cell r="AC63">
            <v>-9.7940000000000005</v>
          </cell>
          <cell r="AD63">
            <v>6.1310000000000002</v>
          </cell>
          <cell r="AE63">
            <v>-2.5979999999999999</v>
          </cell>
          <cell r="AF63">
            <v>15.706741416425329</v>
          </cell>
          <cell r="AG63">
            <v>-7.1877820914581791</v>
          </cell>
          <cell r="AH63">
            <v>1547.1860000000001</v>
          </cell>
          <cell r="AI63">
            <v>1574.357</v>
          </cell>
        </row>
        <row r="64">
          <cell r="A64" t="str">
            <v>Dominica</v>
          </cell>
          <cell r="B64">
            <v>212</v>
          </cell>
          <cell r="C64">
            <v>1994</v>
          </cell>
          <cell r="D64">
            <v>1994</v>
          </cell>
          <cell r="E64" t="str">
            <v>-</v>
          </cell>
          <cell r="F64" t="str">
            <v>-</v>
          </cell>
          <cell r="G64" t="str">
            <v>--</v>
          </cell>
          <cell r="H64" t="str">
            <v>--</v>
          </cell>
          <cell r="I64" t="str">
            <v>--</v>
          </cell>
          <cell r="J64" t="str">
            <v>Satisfactory</v>
          </cell>
          <cell r="K64" t="str">
            <v>Satisfactory</v>
          </cell>
          <cell r="L64" t="str">
            <v>Maintain</v>
          </cell>
          <cell r="M64" t="str">
            <v>Maintain</v>
          </cell>
          <cell r="N64" t="str">
            <v>Too high</v>
          </cell>
          <cell r="O64" t="str">
            <v>Satisfactory</v>
          </cell>
          <cell r="P64" t="str">
            <v>Maintain</v>
          </cell>
          <cell r="Q64" t="str">
            <v>No intervention</v>
          </cell>
          <cell r="R64">
            <v>8046.5349999999999</v>
          </cell>
          <cell r="S64">
            <v>8189.4440000000004</v>
          </cell>
          <cell r="T64">
            <v>37.381999999999998</v>
          </cell>
          <cell r="U64">
            <v>39.197000000000003</v>
          </cell>
          <cell r="V64">
            <v>37.698999999999998</v>
          </cell>
          <cell r="W64">
            <v>39.743000000000002</v>
          </cell>
          <cell r="X64">
            <v>7.149</v>
          </cell>
          <cell r="Y64">
            <v>2.8730000000000011</v>
          </cell>
          <cell r="Z64">
            <v>14.247</v>
          </cell>
          <cell r="AA64">
            <v>12.251000000000001</v>
          </cell>
          <cell r="AB64">
            <v>-2.7130000000000001</v>
          </cell>
          <cell r="AC64">
            <v>-3.6749999999999998</v>
          </cell>
          <cell r="AD64">
            <v>-7.0979999999999999</v>
          </cell>
          <cell r="AE64">
            <v>-9.3780000000000001</v>
          </cell>
          <cell r="AF64">
            <v>-38.946310651737008</v>
          </cell>
          <cell r="AG64">
            <v>-56.932610379550731</v>
          </cell>
          <cell r="AH64">
            <v>98.382000000000005</v>
          </cell>
          <cell r="AI64">
            <v>98.382000000000005</v>
          </cell>
        </row>
        <row r="65">
          <cell r="A65" t="str">
            <v>Dominican Republic</v>
          </cell>
          <cell r="B65">
            <v>214</v>
          </cell>
          <cell r="C65">
            <v>1978</v>
          </cell>
          <cell r="D65">
            <v>1978</v>
          </cell>
          <cell r="E65">
            <v>1983</v>
          </cell>
          <cell r="F65" t="str">
            <v>-</v>
          </cell>
          <cell r="G65" t="str">
            <v>--</v>
          </cell>
          <cell r="H65" t="str">
            <v>--</v>
          </cell>
          <cell r="I65" t="str">
            <v>--</v>
          </cell>
          <cell r="J65" t="str">
            <v>Too high</v>
          </cell>
          <cell r="K65" t="str">
            <v>Satisfactory</v>
          </cell>
          <cell r="L65" t="str">
            <v>Lower</v>
          </cell>
          <cell r="M65" t="str">
            <v>Maintain</v>
          </cell>
          <cell r="N65" t="str">
            <v>Too high</v>
          </cell>
          <cell r="O65" t="str">
            <v>Satisfactory</v>
          </cell>
          <cell r="P65" t="str">
            <v>No intervention</v>
          </cell>
          <cell r="Q65" t="str">
            <v>No intervention</v>
          </cell>
          <cell r="R65">
            <v>279.11700000000002</v>
          </cell>
          <cell r="S65">
            <v>323.06299999999999</v>
          </cell>
          <cell r="T65">
            <v>3892.087</v>
          </cell>
          <cell r="U65">
            <v>4489.558</v>
          </cell>
          <cell r="V65">
            <v>3780.2579999999998</v>
          </cell>
          <cell r="W65">
            <v>4405.3490000000002</v>
          </cell>
          <cell r="X65">
            <v>14.872</v>
          </cell>
          <cell r="Y65">
            <v>14.685999999999998</v>
          </cell>
          <cell r="Z65">
            <v>19.39</v>
          </cell>
          <cell r="AA65">
            <v>17.948999999999998</v>
          </cell>
          <cell r="AB65">
            <v>-180</v>
          </cell>
          <cell r="AC65">
            <v>-140</v>
          </cell>
          <cell r="AD65">
            <v>-4.5179999999999998</v>
          </cell>
          <cell r="AE65">
            <v>-3.2629999999999999</v>
          </cell>
          <cell r="AF65">
            <v>-17.546031526319535</v>
          </cell>
          <cell r="AG65">
            <v>-13.339952490712056</v>
          </cell>
          <cell r="AH65">
            <v>12668.103999999999</v>
          </cell>
          <cell r="AI65">
            <v>14191.045</v>
          </cell>
        </row>
        <row r="66">
          <cell r="A66" t="str">
            <v>Ecuador</v>
          </cell>
          <cell r="B66">
            <v>818</v>
          </cell>
          <cell r="C66">
            <v>1955</v>
          </cell>
          <cell r="D66">
            <v>1969</v>
          </cell>
          <cell r="E66">
            <v>1978</v>
          </cell>
          <cell r="F66" t="str">
            <v>-</v>
          </cell>
          <cell r="G66">
            <v>2002</v>
          </cell>
          <cell r="H66">
            <v>2002</v>
          </cell>
          <cell r="I66">
            <v>2002</v>
          </cell>
          <cell r="J66" t="str">
            <v>Satisfactory</v>
          </cell>
          <cell r="K66" t="str">
            <v>Too high</v>
          </cell>
          <cell r="L66" t="str">
            <v>Lower</v>
          </cell>
          <cell r="M66" t="str">
            <v>Lower</v>
          </cell>
          <cell r="N66" t="str">
            <v>Satisfactory</v>
          </cell>
          <cell r="O66" t="str">
            <v>Too high</v>
          </cell>
          <cell r="P66" t="str">
            <v>No intervention</v>
          </cell>
          <cell r="Q66" t="str">
            <v>Lower</v>
          </cell>
          <cell r="R66">
            <v>262.05099999999999</v>
          </cell>
          <cell r="S66">
            <v>269.55599999999998</v>
          </cell>
          <cell r="T66">
            <v>5726.9350000000004</v>
          </cell>
          <cell r="U66">
            <v>6633.4089999999997</v>
          </cell>
          <cell r="V66">
            <v>5669.4589999999998</v>
          </cell>
          <cell r="W66">
            <v>6595.0140000000001</v>
          </cell>
          <cell r="X66">
            <v>15.343000000000004</v>
          </cell>
          <cell r="Y66">
            <v>14.456999999999997</v>
          </cell>
          <cell r="Z66">
            <v>20.406000000000002</v>
          </cell>
          <cell r="AA66">
            <v>18.372999999999998</v>
          </cell>
          <cell r="AB66">
            <v>-300</v>
          </cell>
          <cell r="AC66">
            <v>-250</v>
          </cell>
          <cell r="AD66">
            <v>-5.0629999999999997</v>
          </cell>
          <cell r="AE66">
            <v>-3.9159999999999999</v>
          </cell>
          <cell r="AF66">
            <v>-19.774726317787763</v>
          </cell>
          <cell r="AG66">
            <v>-16.798907667827805</v>
          </cell>
          <cell r="AH66">
            <v>19213.918000000001</v>
          </cell>
          <cell r="AI66">
            <v>20616.845999999998</v>
          </cell>
        </row>
        <row r="67">
          <cell r="A67" t="str">
            <v>Egypt</v>
          </cell>
          <cell r="B67">
            <v>222</v>
          </cell>
          <cell r="C67">
            <v>1981</v>
          </cell>
          <cell r="D67">
            <v>1981</v>
          </cell>
          <cell r="E67" t="str">
            <v>-</v>
          </cell>
          <cell r="F67" t="str">
            <v>-</v>
          </cell>
          <cell r="G67">
            <v>1993</v>
          </cell>
          <cell r="H67">
            <v>2004</v>
          </cell>
          <cell r="I67">
            <v>2005</v>
          </cell>
          <cell r="J67" t="str">
            <v>Satisfactory</v>
          </cell>
          <cell r="K67" t="str">
            <v>Satisfactory</v>
          </cell>
          <cell r="L67" t="str">
            <v>Lower</v>
          </cell>
          <cell r="M67" t="str">
            <v>Lower</v>
          </cell>
          <cell r="N67" t="str">
            <v>Too low</v>
          </cell>
          <cell r="O67" t="str">
            <v>Too low</v>
          </cell>
          <cell r="P67" t="str">
            <v>Raise</v>
          </cell>
          <cell r="Q67" t="str">
            <v>Maintain</v>
          </cell>
          <cell r="R67">
            <v>10248.776</v>
          </cell>
          <cell r="S67">
            <v>9755.1059999999998</v>
          </cell>
          <cell r="T67">
            <v>30799.675999999999</v>
          </cell>
          <cell r="U67">
            <v>37120.006999999998</v>
          </cell>
          <cell r="V67">
            <v>30425.059000000001</v>
          </cell>
          <cell r="W67">
            <v>36912.877</v>
          </cell>
          <cell r="X67">
            <v>18.864999999999998</v>
          </cell>
          <cell r="Y67">
            <v>19.097999999999999</v>
          </cell>
          <cell r="Z67">
            <v>20.420999999999999</v>
          </cell>
          <cell r="AA67">
            <v>20.372</v>
          </cell>
          <cell r="AB67">
            <v>-500</v>
          </cell>
          <cell r="AC67">
            <v>-450</v>
          </cell>
          <cell r="AD67">
            <v>-1.556</v>
          </cell>
          <cell r="AE67">
            <v>-1.274</v>
          </cell>
          <cell r="AF67">
            <v>-5.7894653961337488</v>
          </cell>
          <cell r="AG67">
            <v>-4.8375299443103552</v>
          </cell>
          <cell r="AH67">
            <v>125915.92200000001</v>
          </cell>
          <cell r="AI67">
            <v>131763.96100000001</v>
          </cell>
        </row>
        <row r="68">
          <cell r="A68" t="str">
            <v>El Salvador</v>
          </cell>
          <cell r="B68">
            <v>226</v>
          </cell>
          <cell r="C68">
            <v>1983</v>
          </cell>
          <cell r="D68">
            <v>1983</v>
          </cell>
          <cell r="E68" t="str">
            <v>-</v>
          </cell>
          <cell r="F68" t="str">
            <v>-</v>
          </cell>
          <cell r="G68">
            <v>2003</v>
          </cell>
          <cell r="H68">
            <v>2004</v>
          </cell>
          <cell r="I68">
            <v>2004</v>
          </cell>
          <cell r="J68" t="str">
            <v>Satisfactory</v>
          </cell>
          <cell r="K68" t="str">
            <v>Satisfactory</v>
          </cell>
          <cell r="L68" t="str">
            <v>No intervention</v>
          </cell>
          <cell r="M68" t="str">
            <v>No intervention</v>
          </cell>
          <cell r="N68" t="str">
            <v>Satisfactory</v>
          </cell>
          <cell r="O68" t="str">
            <v>Too high</v>
          </cell>
          <cell r="P68" t="str">
            <v>No intervention</v>
          </cell>
          <cell r="Q68" t="str">
            <v>Lower</v>
          </cell>
          <cell r="R68">
            <v>10136.811</v>
          </cell>
          <cell r="S68">
            <v>10419.048999999999</v>
          </cell>
          <cell r="T68">
            <v>2776.2660000000001</v>
          </cell>
          <cell r="U68">
            <v>3382.0990000000002</v>
          </cell>
          <cell r="V68">
            <v>2892.34</v>
          </cell>
          <cell r="W68">
            <v>3498.8519999999999</v>
          </cell>
          <cell r="X68">
            <v>20.483000000000001</v>
          </cell>
          <cell r="Y68">
            <v>18.248999999999999</v>
          </cell>
          <cell r="Z68">
            <v>21.754999999999999</v>
          </cell>
          <cell r="AA68">
            <v>19.404</v>
          </cell>
          <cell r="AB68">
            <v>-38</v>
          </cell>
          <cell r="AC68">
            <v>-38</v>
          </cell>
          <cell r="AD68">
            <v>-1.272</v>
          </cell>
          <cell r="AE68">
            <v>-1.155</v>
          </cell>
          <cell r="AF68">
            <v>-4.5892167897703944</v>
          </cell>
          <cell r="AG68">
            <v>-4.573816585140392</v>
          </cell>
          <cell r="AH68">
            <v>10822.907999999999</v>
          </cell>
          <cell r="AI68">
            <v>11366.623</v>
          </cell>
        </row>
        <row r="69">
          <cell r="A69" t="str">
            <v>Equatorial Guinea</v>
          </cell>
          <cell r="B69">
            <v>232</v>
          </cell>
          <cell r="C69">
            <v>1986</v>
          </cell>
          <cell r="D69">
            <v>1986</v>
          </cell>
          <cell r="E69" t="str">
            <v>-</v>
          </cell>
          <cell r="F69" t="str">
            <v>-</v>
          </cell>
          <cell r="G69" t="str">
            <v>--</v>
          </cell>
          <cell r="H69">
            <v>2003</v>
          </cell>
          <cell r="I69" t="str">
            <v>--</v>
          </cell>
          <cell r="J69" t="str">
            <v>Satisfactory</v>
          </cell>
          <cell r="K69" t="str">
            <v>Satisfactory</v>
          </cell>
          <cell r="L69" t="str">
            <v>No intervention</v>
          </cell>
          <cell r="M69" t="str">
            <v>No intervention</v>
          </cell>
          <cell r="N69" t="str">
            <v>Satisfactory</v>
          </cell>
          <cell r="O69" t="str">
            <v>Satisfactory</v>
          </cell>
          <cell r="P69" t="str">
            <v>No intervention</v>
          </cell>
          <cell r="Q69" t="str">
            <v>Lower</v>
          </cell>
          <cell r="R69">
            <v>213.977</v>
          </cell>
          <cell r="S69">
            <v>269.73599999999999</v>
          </cell>
          <cell r="T69">
            <v>195.92099999999999</v>
          </cell>
          <cell r="U69">
            <v>249.18100000000001</v>
          </cell>
          <cell r="V69">
            <v>202.18700000000001</v>
          </cell>
          <cell r="W69">
            <v>254.33799999999999</v>
          </cell>
          <cell r="X69">
            <v>23.962000000000003</v>
          </cell>
          <cell r="Y69">
            <v>22.963999999999999</v>
          </cell>
          <cell r="Z69">
            <v>23.962000000000003</v>
          </cell>
          <cell r="AA69">
            <v>22.963999999999999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1146.3150000000001</v>
          </cell>
          <cell r="AI69">
            <v>1146.3150000000001</v>
          </cell>
        </row>
        <row r="70">
          <cell r="A70" t="str">
            <v>Eritrea</v>
          </cell>
          <cell r="B70">
            <v>233</v>
          </cell>
          <cell r="C70" t="str">
            <v>--</v>
          </cell>
          <cell r="D70" t="str">
            <v>--</v>
          </cell>
          <cell r="E70" t="str">
            <v>-</v>
          </cell>
          <cell r="F70" t="str">
            <v>-</v>
          </cell>
          <cell r="G70" t="str">
            <v>--</v>
          </cell>
          <cell r="H70" t="str">
            <v>--</v>
          </cell>
          <cell r="I70" t="str">
            <v>--</v>
          </cell>
          <cell r="J70" t="str">
            <v>Satisfactory</v>
          </cell>
          <cell r="K70" t="str">
            <v>Satisfactory</v>
          </cell>
          <cell r="L70" t="str">
            <v>No intervention</v>
          </cell>
          <cell r="M70" t="str">
            <v>No intervention</v>
          </cell>
          <cell r="N70" t="str">
            <v>Satisfactory</v>
          </cell>
          <cell r="O70" t="str">
            <v>Satisfactory</v>
          </cell>
          <cell r="P70" t="str">
            <v>No intervention</v>
          </cell>
          <cell r="Q70" t="str">
            <v>No intervention</v>
          </cell>
          <cell r="R70">
            <v>6200.6469999999999</v>
          </cell>
          <cell r="S70">
            <v>8438.8529999999992</v>
          </cell>
          <cell r="T70">
            <v>1508.8810000000001</v>
          </cell>
          <cell r="U70">
            <v>2160.73</v>
          </cell>
          <cell r="V70">
            <v>1588.376</v>
          </cell>
          <cell r="W70">
            <v>2240.627</v>
          </cell>
          <cell r="X70">
            <v>27.61</v>
          </cell>
          <cell r="Y70">
            <v>42.465000000000003</v>
          </cell>
          <cell r="Z70">
            <v>28.143999999999998</v>
          </cell>
          <cell r="AA70">
            <v>28.393999999999998</v>
          </cell>
          <cell r="AB70">
            <v>-8.8870000000000005</v>
          </cell>
          <cell r="AC70">
            <v>279.93200000000002</v>
          </cell>
          <cell r="AD70">
            <v>-0.53400000000000003</v>
          </cell>
          <cell r="AE70">
            <v>14.071</v>
          </cell>
          <cell r="AF70">
            <v>-1.3051862317318723</v>
          </cell>
          <cell r="AG70">
            <v>35.221452055104763</v>
          </cell>
          <cell r="AH70">
            <v>11228.705999999998</v>
          </cell>
          <cell r="AI70">
            <v>11133.190999999999</v>
          </cell>
        </row>
        <row r="71">
          <cell r="A71" t="str">
            <v>Estonia</v>
          </cell>
          <cell r="B71">
            <v>231</v>
          </cell>
          <cell r="C71">
            <v>1997</v>
          </cell>
          <cell r="D71">
            <v>1997</v>
          </cell>
          <cell r="E71" t="str">
            <v>-</v>
          </cell>
          <cell r="F71" t="str">
            <v>-</v>
          </cell>
          <cell r="G71" t="str">
            <v>--</v>
          </cell>
          <cell r="H71">
            <v>2004</v>
          </cell>
          <cell r="I71">
            <v>2004</v>
          </cell>
          <cell r="J71" t="str">
            <v>Too high</v>
          </cell>
          <cell r="K71" t="str">
            <v>Satisfactory</v>
          </cell>
          <cell r="L71" t="str">
            <v>Lower</v>
          </cell>
          <cell r="M71" t="str">
            <v>Lower</v>
          </cell>
          <cell r="N71" t="str">
            <v>Satisfactory</v>
          </cell>
          <cell r="O71" t="str">
            <v>Satisfactory</v>
          </cell>
          <cell r="P71" t="str">
            <v>Maintain</v>
          </cell>
          <cell r="Q71" t="str">
            <v>Maintain</v>
          </cell>
          <cell r="R71">
            <v>61.42</v>
          </cell>
          <cell r="S71">
            <v>64.174000000000007</v>
          </cell>
          <cell r="T71">
            <v>670.31299999999999</v>
          </cell>
          <cell r="U71">
            <v>611.35299999999995</v>
          </cell>
          <cell r="V71">
            <v>776.524</v>
          </cell>
          <cell r="W71">
            <v>718.34400000000005</v>
          </cell>
          <cell r="X71">
            <v>-11.361999999999998</v>
          </cell>
          <cell r="Y71">
            <v>-5.52</v>
          </cell>
          <cell r="Z71">
            <v>-4.770999999999999</v>
          </cell>
          <cell r="AA71">
            <v>-4.0370000000000008</v>
          </cell>
          <cell r="AB71">
            <v>-46.363</v>
          </cell>
          <cell r="AC71">
            <v>-10</v>
          </cell>
          <cell r="AD71">
            <v>-6.5910000000000002</v>
          </cell>
          <cell r="AE71">
            <v>-1.4830000000000001</v>
          </cell>
          <cell r="AF71">
            <v>-72.257028863537187</v>
          </cell>
          <cell r="AG71">
            <v>-15.32919445083161</v>
          </cell>
          <cell r="AH71">
            <v>1119.317</v>
          </cell>
          <cell r="AI71">
            <v>1119.317</v>
          </cell>
        </row>
        <row r="72">
          <cell r="A72" t="str">
            <v>Ethiopia</v>
          </cell>
          <cell r="B72">
            <v>234</v>
          </cell>
          <cell r="C72">
            <v>1969</v>
          </cell>
          <cell r="D72">
            <v>1969</v>
          </cell>
          <cell r="E72" t="str">
            <v>-</v>
          </cell>
          <cell r="F72" t="str">
            <v>-</v>
          </cell>
          <cell r="G72" t="str">
            <v>--</v>
          </cell>
          <cell r="H72" t="str">
            <v>--</v>
          </cell>
          <cell r="I72" t="str">
            <v>--</v>
          </cell>
          <cell r="J72" t="str">
            <v>Satisfactory</v>
          </cell>
          <cell r="K72" t="str">
            <v>Satisfactory</v>
          </cell>
          <cell r="L72" t="str">
            <v>No intervention</v>
          </cell>
          <cell r="M72" t="str">
            <v>No intervention</v>
          </cell>
          <cell r="N72" t="str">
            <v>Satisfactory</v>
          </cell>
          <cell r="O72" t="str">
            <v>Satisfactory</v>
          </cell>
          <cell r="P72" t="str">
            <v>No intervention</v>
          </cell>
          <cell r="Q72" t="str">
            <v>No intervention</v>
          </cell>
          <cell r="R72">
            <v>7481.6939999999995</v>
          </cell>
          <cell r="S72">
            <v>9182.0149999999994</v>
          </cell>
          <cell r="T72">
            <v>29787.991999999998</v>
          </cell>
          <cell r="U72">
            <v>38513.858</v>
          </cell>
          <cell r="V72">
            <v>30218.941999999999</v>
          </cell>
          <cell r="W72">
            <v>38916.843999999997</v>
          </cell>
          <cell r="X72">
            <v>26.508999999999997</v>
          </cell>
          <cell r="Y72">
            <v>24.406000000000002</v>
          </cell>
          <cell r="Z72">
            <v>26.747999999999998</v>
          </cell>
          <cell r="AA72">
            <v>24.818000000000001</v>
          </cell>
          <cell r="AB72">
            <v>-76.912000000000006</v>
          </cell>
          <cell r="AC72">
            <v>-150.33500000000001</v>
          </cell>
          <cell r="AD72">
            <v>-0.23899999999999999</v>
          </cell>
          <cell r="AE72">
            <v>-0.41199999999999998</v>
          </cell>
          <cell r="AF72">
            <v>-0.54784275163623797</v>
          </cell>
          <cell r="AG72">
            <v>-1.0015470732787228</v>
          </cell>
          <cell r="AH72">
            <v>170190.413</v>
          </cell>
          <cell r="AI72">
            <v>170828.73200000002</v>
          </cell>
        </row>
        <row r="73">
          <cell r="A73" t="str">
            <v>Faeroe Islands</v>
          </cell>
          <cell r="B73">
            <v>238</v>
          </cell>
          <cell r="C73" t="str">
            <v>-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  <cell r="R73">
            <v>3420.0720000000001</v>
          </cell>
          <cell r="S73">
            <v>3907.0739999999996</v>
          </cell>
          <cell r="T73">
            <v>22.701000000000001</v>
          </cell>
          <cell r="U73">
            <v>24.295999999999999</v>
          </cell>
          <cell r="V73">
            <v>21.347999999999999</v>
          </cell>
          <cell r="W73">
            <v>22.721</v>
          </cell>
          <cell r="X73">
            <v>6.81</v>
          </cell>
          <cell r="Y73">
            <v>6.23</v>
          </cell>
          <cell r="Z73">
            <v>6.5960000000000001</v>
          </cell>
          <cell r="AA73">
            <v>6.23</v>
          </cell>
          <cell r="AB73">
            <v>4.8000000000000001E-2</v>
          </cell>
          <cell r="AC73">
            <v>0</v>
          </cell>
          <cell r="AD73">
            <v>0.214</v>
          </cell>
          <cell r="AE73">
            <v>0</v>
          </cell>
          <cell r="AF73">
            <v>1.431980906921241</v>
          </cell>
          <cell r="AG73">
            <v>0</v>
          </cell>
          <cell r="AH73">
            <v>55.325999999999993</v>
          </cell>
          <cell r="AI73">
            <v>55.325999999999993</v>
          </cell>
        </row>
        <row r="74">
          <cell r="A74" t="str">
            <v>Falkland Islands (Malvinas)</v>
          </cell>
          <cell r="B74">
            <v>583</v>
          </cell>
          <cell r="C74" t="str">
            <v>-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 t="str">
            <v>-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-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1615.528</v>
          </cell>
          <cell r="S74">
            <v>1764.9259999999999</v>
          </cell>
          <cell r="T74">
            <v>1.202</v>
          </cell>
          <cell r="U74">
            <v>1.4930000000000001</v>
          </cell>
          <cell r="V74">
            <v>1.25</v>
          </cell>
          <cell r="W74">
            <v>1.5669999999999999</v>
          </cell>
          <cell r="X74">
            <v>38.948</v>
          </cell>
          <cell r="Y74">
            <v>5.23</v>
          </cell>
          <cell r="Z74">
            <v>9.3509999999999991</v>
          </cell>
          <cell r="AA74">
            <v>7.3490000000000002</v>
          </cell>
          <cell r="AB74">
            <v>0.40200000000000002</v>
          </cell>
          <cell r="AC74">
            <v>-3.2000000000000001E-2</v>
          </cell>
          <cell r="AD74">
            <v>29.597000000000001</v>
          </cell>
          <cell r="AE74">
            <v>-2.1190000000000002</v>
          </cell>
          <cell r="AF74">
            <v>187.85046728971963</v>
          </cell>
          <cell r="AG74">
            <v>-14.746543778801843</v>
          </cell>
          <cell r="AH74">
            <v>3.4689999999999999</v>
          </cell>
          <cell r="AI74">
            <v>3.4689999999999999</v>
          </cell>
        </row>
        <row r="75">
          <cell r="A75" t="str">
            <v>Fiji</v>
          </cell>
          <cell r="B75">
            <v>242</v>
          </cell>
          <cell r="C75">
            <v>1972</v>
          </cell>
          <cell r="D75">
            <v>1972</v>
          </cell>
          <cell r="E75" t="str">
            <v>-</v>
          </cell>
          <cell r="F75" t="str">
            <v>-</v>
          </cell>
          <cell r="G75" t="str">
            <v>--</v>
          </cell>
          <cell r="H75" t="str">
            <v>--</v>
          </cell>
          <cell r="I75" t="str">
            <v>--</v>
          </cell>
          <cell r="J75" t="str">
            <v>Satisfactory</v>
          </cell>
          <cell r="K75" t="str">
            <v>Satisfactory</v>
          </cell>
          <cell r="L75" t="str">
            <v>Maintain</v>
          </cell>
          <cell r="M75" t="str">
            <v>Lower</v>
          </cell>
          <cell r="N75" t="str">
            <v>Satisfactory</v>
          </cell>
          <cell r="O75" t="str">
            <v>Too high</v>
          </cell>
          <cell r="P75" t="str">
            <v>No intervention</v>
          </cell>
          <cell r="Q75" t="str">
            <v>Lower</v>
          </cell>
          <cell r="R75">
            <v>161375.96100000001</v>
          </cell>
          <cell r="S75">
            <v>186404.913</v>
          </cell>
          <cell r="T75">
            <v>390.214</v>
          </cell>
          <cell r="U75">
            <v>430.79500000000002</v>
          </cell>
          <cell r="V75">
            <v>377.72199999999998</v>
          </cell>
          <cell r="W75">
            <v>416.911</v>
          </cell>
          <cell r="X75">
            <v>10.843999999999999</v>
          </cell>
          <cell r="Y75">
            <v>8.916999999999998</v>
          </cell>
          <cell r="Z75">
            <v>19.661999999999999</v>
          </cell>
          <cell r="AA75">
            <v>17.309999999999999</v>
          </cell>
          <cell r="AB75">
            <v>-34.799999999999997</v>
          </cell>
          <cell r="AC75">
            <v>-34.799999999999997</v>
          </cell>
          <cell r="AD75">
            <v>-8.8179999999999996</v>
          </cell>
          <cell r="AE75">
            <v>-8.3930000000000007</v>
          </cell>
          <cell r="AF75">
            <v>-34.112964887172346</v>
          </cell>
          <cell r="AG75">
            <v>-35.629088898672094</v>
          </cell>
          <cell r="AH75">
            <v>934.41100000000006</v>
          </cell>
          <cell r="AI75">
            <v>1294.2049999999999</v>
          </cell>
        </row>
        <row r="76">
          <cell r="A76" t="str">
            <v>Finland</v>
          </cell>
          <cell r="B76">
            <v>246</v>
          </cell>
          <cell r="C76">
            <v>1968</v>
          </cell>
          <cell r="D76">
            <v>1968</v>
          </cell>
          <cell r="E76" t="str">
            <v>-</v>
          </cell>
          <cell r="F76" t="str">
            <v>-</v>
          </cell>
          <cell r="G76" t="str">
            <v>--</v>
          </cell>
          <cell r="H76" t="str">
            <v>--</v>
          </cell>
          <cell r="I76" t="str">
            <v>--</v>
          </cell>
          <cell r="J76" t="str">
            <v>Satisfactory</v>
          </cell>
          <cell r="K76" t="str">
            <v>Satisfactory</v>
          </cell>
          <cell r="L76" t="str">
            <v>Lower</v>
          </cell>
          <cell r="M76" t="str">
            <v>Maintain</v>
          </cell>
          <cell r="N76" t="str">
            <v>Satisfactory</v>
          </cell>
          <cell r="O76" t="str">
            <v>Satisfactory</v>
          </cell>
          <cell r="P76" t="str">
            <v>Maintain</v>
          </cell>
          <cell r="Q76" t="str">
            <v>No intervention</v>
          </cell>
          <cell r="R76">
            <v>18.457999999999998</v>
          </cell>
          <cell r="S76">
            <v>22.015999999999998</v>
          </cell>
          <cell r="T76">
            <v>2486.6819999999998</v>
          </cell>
          <cell r="U76">
            <v>2569.9560000000001</v>
          </cell>
          <cell r="V76">
            <v>2621.12</v>
          </cell>
          <cell r="W76">
            <v>2679.1039999999998</v>
          </cell>
          <cell r="X76">
            <v>2.673</v>
          </cell>
          <cell r="Y76">
            <v>2.7829999999999995</v>
          </cell>
          <cell r="Z76">
            <v>1.88</v>
          </cell>
          <cell r="AA76">
            <v>1.2029999999999994</v>
          </cell>
          <cell r="AB76">
            <v>20.381</v>
          </cell>
          <cell r="AC76">
            <v>41.180999999999997</v>
          </cell>
          <cell r="AD76">
            <v>0.79300000000000004</v>
          </cell>
          <cell r="AE76">
            <v>1.58</v>
          </cell>
          <cell r="AF76">
            <v>6.8969601396921227</v>
          </cell>
          <cell r="AG76">
            <v>14.718381088876416</v>
          </cell>
          <cell r="AH76">
            <v>5329.0490000000009</v>
          </cell>
          <cell r="AI76">
            <v>4939.3050000000003</v>
          </cell>
        </row>
        <row r="77">
          <cell r="A77" t="str">
            <v>France</v>
          </cell>
          <cell r="B77">
            <v>250</v>
          </cell>
          <cell r="C77">
            <v>1954</v>
          </cell>
          <cell r="D77">
            <v>1971</v>
          </cell>
          <cell r="E77">
            <v>1954</v>
          </cell>
          <cell r="F77" t="str">
            <v>-</v>
          </cell>
          <cell r="G77" t="str">
            <v>--</v>
          </cell>
          <cell r="H77">
            <v>2002</v>
          </cell>
          <cell r="I77">
            <v>2002</v>
          </cell>
          <cell r="J77" t="str">
            <v>Too high</v>
          </cell>
          <cell r="K77" t="str">
            <v>Too high</v>
          </cell>
          <cell r="L77" t="str">
            <v>Lower</v>
          </cell>
          <cell r="M77" t="str">
            <v>Lower</v>
          </cell>
          <cell r="N77" t="str">
            <v>Satisfactory</v>
          </cell>
          <cell r="O77" t="str">
            <v>Satisfactory</v>
          </cell>
          <cell r="P77" t="str">
            <v>Maintain</v>
          </cell>
          <cell r="Q77" t="str">
            <v>No intervention</v>
          </cell>
          <cell r="R77">
            <v>8296.6530000000002</v>
          </cell>
          <cell r="S77">
            <v>7725.9650000000001</v>
          </cell>
          <cell r="T77">
            <v>28300.008000000002</v>
          </cell>
          <cell r="U77">
            <v>29462.919000000002</v>
          </cell>
          <cell r="V77">
            <v>29902.648000000001</v>
          </cell>
          <cell r="W77">
            <v>31032.617999999999</v>
          </cell>
          <cell r="X77">
            <v>3.6620000000000004</v>
          </cell>
          <cell r="Y77">
            <v>4.0659999999999998</v>
          </cell>
          <cell r="Z77">
            <v>2.9160000000000004</v>
          </cell>
          <cell r="AA77">
            <v>3.0640000000000001</v>
          </cell>
          <cell r="AB77">
            <v>219</v>
          </cell>
          <cell r="AC77">
            <v>300</v>
          </cell>
          <cell r="AD77">
            <v>0.746</v>
          </cell>
          <cell r="AE77">
            <v>1.002</v>
          </cell>
          <cell r="AF77">
            <v>5.9858864277815105</v>
          </cell>
          <cell r="AG77">
            <v>8.0298539262506097</v>
          </cell>
          <cell r="AH77">
            <v>63115.987999999998</v>
          </cell>
          <cell r="AI77">
            <v>60468.133000000002</v>
          </cell>
        </row>
        <row r="78">
          <cell r="A78" t="str">
            <v>French Guiana</v>
          </cell>
          <cell r="B78">
            <v>254</v>
          </cell>
          <cell r="C78" t="str">
            <v>-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9831.857</v>
          </cell>
          <cell r="S78">
            <v>13227.834999999999</v>
          </cell>
          <cell r="T78">
            <v>71.784000000000006</v>
          </cell>
          <cell r="U78">
            <v>96.08</v>
          </cell>
          <cell r="V78">
            <v>66.760999999999996</v>
          </cell>
          <cell r="W78">
            <v>90.975999999999999</v>
          </cell>
          <cell r="X78">
            <v>34.03</v>
          </cell>
          <cell r="Y78">
            <v>25.895</v>
          </cell>
          <cell r="Z78">
            <v>25.312999999999999</v>
          </cell>
          <cell r="AA78">
            <v>21.341000000000001</v>
          </cell>
          <cell r="AB78">
            <v>6.6</v>
          </cell>
          <cell r="AC78">
            <v>4</v>
          </cell>
          <cell r="AD78">
            <v>8.7170000000000005</v>
          </cell>
          <cell r="AE78">
            <v>4.5540000000000003</v>
          </cell>
          <cell r="AF78">
            <v>29.868307915101592</v>
          </cell>
          <cell r="AG78">
            <v>18.195878633489514</v>
          </cell>
          <cell r="AH78">
            <v>358.702</v>
          </cell>
          <cell r="AI78">
            <v>308.40699999999998</v>
          </cell>
        </row>
        <row r="79">
          <cell r="A79" t="str">
            <v>French Polynesia</v>
          </cell>
          <cell r="B79">
            <v>258</v>
          </cell>
          <cell r="C79" t="str">
            <v>-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6159.06</v>
          </cell>
          <cell r="S79">
            <v>7547.5150000000003</v>
          </cell>
          <cell r="T79">
            <v>112.108</v>
          </cell>
          <cell r="U79">
            <v>131.27199999999999</v>
          </cell>
          <cell r="V79">
            <v>103.688</v>
          </cell>
          <cell r="W79">
            <v>125.331</v>
          </cell>
          <cell r="X79">
            <v>17.991999999999997</v>
          </cell>
          <cell r="Y79">
            <v>16.624000000000002</v>
          </cell>
          <cell r="Z79">
            <v>16.576999999999998</v>
          </cell>
          <cell r="AA79">
            <v>14.491000000000001</v>
          </cell>
          <cell r="AB79">
            <v>1.599</v>
          </cell>
          <cell r="AC79">
            <v>2.6280000000000001</v>
          </cell>
          <cell r="AD79">
            <v>1.415</v>
          </cell>
          <cell r="AE79">
            <v>2.133</v>
          </cell>
          <cell r="AF79">
            <v>6.6252330640149157</v>
          </cell>
          <cell r="AG79">
            <v>11.045265414197454</v>
          </cell>
          <cell r="AH79">
            <v>359.92700000000002</v>
          </cell>
          <cell r="AI79">
            <v>359.92700000000002</v>
          </cell>
        </row>
        <row r="80">
          <cell r="A80" t="str">
            <v>Gabon</v>
          </cell>
          <cell r="B80">
            <v>266</v>
          </cell>
          <cell r="C80">
            <v>1964</v>
          </cell>
          <cell r="D80">
            <v>1973</v>
          </cell>
          <cell r="E80" t="str">
            <v>-</v>
          </cell>
          <cell r="F80" t="str">
            <v>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Too high</v>
          </cell>
          <cell r="K80" t="str">
            <v>Too high</v>
          </cell>
          <cell r="L80" t="str">
            <v>Lower</v>
          </cell>
          <cell r="M80" t="str">
            <v>Lower</v>
          </cell>
          <cell r="N80" t="str">
            <v>Too high</v>
          </cell>
          <cell r="O80" t="str">
            <v>Too high</v>
          </cell>
          <cell r="P80" t="str">
            <v>Lower</v>
          </cell>
          <cell r="Q80" t="str">
            <v>Lower</v>
          </cell>
          <cell r="R80">
            <v>13302.275000000001</v>
          </cell>
          <cell r="S80">
            <v>16321.862999999999</v>
          </cell>
          <cell r="T80">
            <v>554.82799999999997</v>
          </cell>
          <cell r="U80">
            <v>689.18200000000002</v>
          </cell>
          <cell r="V80">
            <v>563.90800000000002</v>
          </cell>
          <cell r="W80">
            <v>694.65899999999999</v>
          </cell>
          <cell r="X80">
            <v>25.658000000000001</v>
          </cell>
          <cell r="Y80">
            <v>16.829999999999998</v>
          </cell>
          <cell r="Z80">
            <v>23.254000000000001</v>
          </cell>
          <cell r="AA80">
            <v>19.088999999999999</v>
          </cell>
          <cell r="AB80">
            <v>14.37</v>
          </cell>
          <cell r="AC80">
            <v>-15</v>
          </cell>
          <cell r="AD80">
            <v>2.4039999999999999</v>
          </cell>
          <cell r="AE80">
            <v>-2.2589999999999999</v>
          </cell>
          <cell r="AF80">
            <v>7.0097219037955902</v>
          </cell>
          <cell r="AG80">
            <v>-7.1522572523888535</v>
          </cell>
          <cell r="AH80">
            <v>2278.7870000000003</v>
          </cell>
          <cell r="AI80">
            <v>2278.7870000000003</v>
          </cell>
        </row>
        <row r="81">
          <cell r="A81" t="str">
            <v>Gambia</v>
          </cell>
          <cell r="B81">
            <v>270</v>
          </cell>
          <cell r="C81">
            <v>1966</v>
          </cell>
          <cell r="D81">
            <v>1967</v>
          </cell>
          <cell r="E81" t="str">
            <v>-</v>
          </cell>
          <cell r="F81" t="str">
            <v>-</v>
          </cell>
          <cell r="G81" t="str">
            <v>--</v>
          </cell>
          <cell r="H81">
            <v>2003</v>
          </cell>
          <cell r="I81">
            <v>2003</v>
          </cell>
          <cell r="J81" t="str">
            <v>Too high</v>
          </cell>
          <cell r="K81" t="str">
            <v>Too high</v>
          </cell>
          <cell r="L81" t="str">
            <v>Lower</v>
          </cell>
          <cell r="M81" t="str">
            <v>Lower</v>
          </cell>
          <cell r="N81" t="str">
            <v>Satisfactory</v>
          </cell>
          <cell r="O81" t="str">
            <v>Satisfactory</v>
          </cell>
          <cell r="P81" t="str">
            <v>No intervention</v>
          </cell>
          <cell r="Q81" t="str">
            <v>No intervention</v>
          </cell>
          <cell r="R81">
            <v>29302.091</v>
          </cell>
          <cell r="S81">
            <v>32268.243000000002</v>
          </cell>
          <cell r="T81">
            <v>551.35400000000004</v>
          </cell>
          <cell r="U81">
            <v>752.173</v>
          </cell>
          <cell r="V81">
            <v>563.86199999999997</v>
          </cell>
          <cell r="W81">
            <v>764.90599999999995</v>
          </cell>
          <cell r="X81">
            <v>33.016999999999996</v>
          </cell>
          <cell r="Y81">
            <v>28.407</v>
          </cell>
          <cell r="Z81">
            <v>25.613</v>
          </cell>
          <cell r="AA81">
            <v>24.012</v>
          </cell>
          <cell r="AB81">
            <v>45</v>
          </cell>
          <cell r="AC81">
            <v>31.126999999999999</v>
          </cell>
          <cell r="AD81">
            <v>7.4039999999999999</v>
          </cell>
          <cell r="AE81">
            <v>4.3949999999999996</v>
          </cell>
          <cell r="AF81">
            <v>19.10389974273415</v>
          </cell>
          <cell r="AG81">
            <v>12.197673871812155</v>
          </cell>
          <cell r="AH81">
            <v>3106.1530000000002</v>
          </cell>
          <cell r="AI81">
            <v>3040.0860000000002</v>
          </cell>
        </row>
        <row r="82">
          <cell r="A82" t="str">
            <v>Georgia</v>
          </cell>
          <cell r="B82">
            <v>268</v>
          </cell>
          <cell r="C82">
            <v>1999</v>
          </cell>
          <cell r="D82">
            <v>1999</v>
          </cell>
          <cell r="E82" t="str">
            <v>-</v>
          </cell>
          <cell r="F82" t="str">
            <v>-</v>
          </cell>
          <cell r="G82" t="str">
            <v>--</v>
          </cell>
          <cell r="H82" t="str">
            <v>--</v>
          </cell>
          <cell r="I82" t="str">
            <v>--</v>
          </cell>
          <cell r="J82" t="str">
            <v>Satisfactory</v>
          </cell>
          <cell r="K82" t="str">
            <v>Satisfactory</v>
          </cell>
          <cell r="L82" t="str">
            <v>No intervention</v>
          </cell>
          <cell r="M82" t="str">
            <v>Maintain</v>
          </cell>
          <cell r="N82" t="str">
            <v>Too high</v>
          </cell>
          <cell r="O82" t="str">
            <v>Too high</v>
          </cell>
          <cell r="P82" t="str">
            <v>No intervention</v>
          </cell>
          <cell r="Q82" t="str">
            <v>Lower</v>
          </cell>
          <cell r="R82">
            <v>401.11</v>
          </cell>
          <cell r="S82">
            <v>506.80700000000002</v>
          </cell>
          <cell r="T82">
            <v>2390.98</v>
          </cell>
          <cell r="U82">
            <v>2114.194</v>
          </cell>
          <cell r="V82">
            <v>2641.585</v>
          </cell>
          <cell r="W82">
            <v>2360.21</v>
          </cell>
          <cell r="X82">
            <v>-12.817</v>
          </cell>
          <cell r="Y82">
            <v>-10.686999999999999</v>
          </cell>
          <cell r="Z82">
            <v>1.5380000000000003</v>
          </cell>
          <cell r="AA82">
            <v>0.10200000000000031</v>
          </cell>
          <cell r="AB82">
            <v>-349.99799999999999</v>
          </cell>
          <cell r="AC82">
            <v>-247.999</v>
          </cell>
          <cell r="AD82">
            <v>-14.355</v>
          </cell>
          <cell r="AE82">
            <v>-10.789</v>
          </cell>
          <cell r="AF82">
            <v>-122.11859527921702</v>
          </cell>
          <cell r="AG82">
            <v>-96.561914737042926</v>
          </cell>
          <cell r="AH82">
            <v>2984.5819999999999</v>
          </cell>
          <cell r="AI82">
            <v>3886.509</v>
          </cell>
        </row>
        <row r="83">
          <cell r="A83" t="str">
            <v>Germany</v>
          </cell>
          <cell r="B83">
            <v>276</v>
          </cell>
          <cell r="C83">
            <v>1953</v>
          </cell>
          <cell r="D83">
            <v>1969</v>
          </cell>
          <cell r="E83">
            <v>1959</v>
          </cell>
          <cell r="F83" t="str">
            <v>-</v>
          </cell>
          <cell r="G83" t="str">
            <v>--</v>
          </cell>
          <cell r="H83" t="str">
            <v>--</v>
          </cell>
          <cell r="I83" t="str">
            <v>--</v>
          </cell>
          <cell r="J83" t="str">
            <v>Too high</v>
          </cell>
          <cell r="K83" t="str">
            <v>Satisfactory</v>
          </cell>
          <cell r="L83" t="str">
            <v>Lower</v>
          </cell>
          <cell r="M83" t="str">
            <v>Maintain</v>
          </cell>
          <cell r="N83" t="str">
            <v>Satisfactory</v>
          </cell>
          <cell r="O83" t="str">
            <v>Satisfactory</v>
          </cell>
          <cell r="P83" t="str">
            <v>No intervention</v>
          </cell>
          <cell r="Q83" t="str">
            <v>No intervention</v>
          </cell>
          <cell r="R83">
            <v>32.866</v>
          </cell>
          <cell r="S83">
            <v>45.016999999999996</v>
          </cell>
          <cell r="T83">
            <v>39730.955000000002</v>
          </cell>
          <cell r="U83">
            <v>40388.053999999996</v>
          </cell>
          <cell r="V83">
            <v>41930.01</v>
          </cell>
          <cell r="W83">
            <v>42301.156000000003</v>
          </cell>
          <cell r="X83">
            <v>1.6669999999999998</v>
          </cell>
          <cell r="Y83">
            <v>0.83599999999999985</v>
          </cell>
          <cell r="Z83">
            <v>-1.0990000000000002</v>
          </cell>
          <cell r="AA83">
            <v>-1.83</v>
          </cell>
          <cell r="AB83">
            <v>1134.1179999999999</v>
          </cell>
          <cell r="AC83">
            <v>1100</v>
          </cell>
          <cell r="AD83">
            <v>2.766</v>
          </cell>
          <cell r="AE83">
            <v>2.6659999999999999</v>
          </cell>
          <cell r="AF83">
            <v>29.138966332065891</v>
          </cell>
          <cell r="AG83">
            <v>31.322156638688387</v>
          </cell>
          <cell r="AH83">
            <v>78764.510999999999</v>
          </cell>
          <cell r="AI83">
            <v>65588.994000000006</v>
          </cell>
        </row>
        <row r="84">
          <cell r="A84" t="str">
            <v>Ghana</v>
          </cell>
          <cell r="B84">
            <v>288</v>
          </cell>
          <cell r="C84">
            <v>1963</v>
          </cell>
          <cell r="D84">
            <v>1968</v>
          </cell>
          <cell r="E84" t="str">
            <v>-</v>
          </cell>
          <cell r="F84" t="str">
            <v>-</v>
          </cell>
          <cell r="G84">
            <v>2000</v>
          </cell>
          <cell r="H84" t="str">
            <v>--</v>
          </cell>
          <cell r="I84" t="str">
            <v>--</v>
          </cell>
          <cell r="J84" t="str">
            <v>Satisfactory</v>
          </cell>
          <cell r="K84" t="str">
            <v>Too high</v>
          </cell>
          <cell r="L84" t="str">
            <v>No intervention</v>
          </cell>
          <cell r="M84" t="str">
            <v>Lower</v>
          </cell>
          <cell r="N84" t="str">
            <v>Too high</v>
          </cell>
          <cell r="O84" t="str">
            <v>Too high</v>
          </cell>
          <cell r="P84" t="str">
            <v>Lower</v>
          </cell>
          <cell r="Q84" t="str">
            <v>Lower</v>
          </cell>
          <cell r="R84">
            <v>3414.404</v>
          </cell>
          <cell r="S84">
            <v>4037.7469999999998</v>
          </cell>
          <cell r="T84">
            <v>8944.0550000000003</v>
          </cell>
          <cell r="U84">
            <v>11191.44</v>
          </cell>
          <cell r="V84">
            <v>8781.15</v>
          </cell>
          <cell r="W84">
            <v>10921.365</v>
          </cell>
          <cell r="X84">
            <v>22.789000000000001</v>
          </cell>
          <cell r="Y84">
            <v>21.399000000000004</v>
          </cell>
          <cell r="Z84">
            <v>23.335000000000001</v>
          </cell>
          <cell r="AA84">
            <v>21.288000000000004</v>
          </cell>
          <cell r="AB84">
            <v>-51.314</v>
          </cell>
          <cell r="AC84">
            <v>11.69</v>
          </cell>
          <cell r="AD84">
            <v>-0.54600000000000004</v>
          </cell>
          <cell r="AE84">
            <v>0.111</v>
          </cell>
          <cell r="AF84">
            <v>-1.6043245541632274</v>
          </cell>
          <cell r="AG84">
            <v>0.34717148786592583</v>
          </cell>
          <cell r="AH84">
            <v>40572.701999999997</v>
          </cell>
          <cell r="AI84">
            <v>40874.172000000006</v>
          </cell>
        </row>
        <row r="85">
          <cell r="A85" t="str">
            <v>Gibraltar</v>
          </cell>
          <cell r="B85">
            <v>292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>
            <v>7033.6310000000003</v>
          </cell>
          <cell r="S85">
            <v>9748.9310000000005</v>
          </cell>
          <cell r="T85">
            <v>13.728999999999999</v>
          </cell>
          <cell r="U85">
            <v>13.946</v>
          </cell>
          <cell r="V85">
            <v>13.577</v>
          </cell>
          <cell r="W85">
            <v>13.975</v>
          </cell>
          <cell r="X85">
            <v>2.6839999999999997</v>
          </cell>
          <cell r="Y85">
            <v>1.77</v>
          </cell>
          <cell r="Z85">
            <v>2.6479999999999997</v>
          </cell>
          <cell r="AA85">
            <v>1.77</v>
          </cell>
          <cell r="AB85">
            <v>5.0000000000000001E-3</v>
          </cell>
          <cell r="AC85">
            <v>0</v>
          </cell>
          <cell r="AD85">
            <v>3.5999999999999997E-2</v>
          </cell>
          <cell r="AE85">
            <v>0</v>
          </cell>
          <cell r="AF85">
            <v>0.30712530712530717</v>
          </cell>
          <cell r="AG85">
            <v>0</v>
          </cell>
          <cell r="AH85">
            <v>26.227</v>
          </cell>
          <cell r="AI85">
            <v>26.227</v>
          </cell>
        </row>
        <row r="86">
          <cell r="A86" t="str">
            <v>Greece</v>
          </cell>
          <cell r="B86">
            <v>300</v>
          </cell>
          <cell r="C86">
            <v>1960</v>
          </cell>
          <cell r="D86">
            <v>1968</v>
          </cell>
          <cell r="E86" t="str">
            <v>-</v>
          </cell>
          <cell r="F86" t="str">
            <v>-</v>
          </cell>
          <cell r="G86" t="str">
            <v>--</v>
          </cell>
          <cell r="H86" t="str">
            <v>--</v>
          </cell>
          <cell r="I86" t="str">
            <v>--</v>
          </cell>
          <cell r="J86" t="str">
            <v>Too high</v>
          </cell>
          <cell r="K86" t="str">
            <v>Satisfactory</v>
          </cell>
          <cell r="L86" t="str">
            <v>Lower</v>
          </cell>
          <cell r="M86" t="str">
            <v>Maintain</v>
          </cell>
          <cell r="N86" t="str">
            <v>Satisfactory</v>
          </cell>
          <cell r="O86" t="str">
            <v>Satisfactory</v>
          </cell>
          <cell r="P86" t="str">
            <v>Lower</v>
          </cell>
          <cell r="Q86" t="str">
            <v>No intervention</v>
          </cell>
          <cell r="R86">
            <v>143.99600000000001</v>
          </cell>
          <cell r="S86">
            <v>149.46300000000002</v>
          </cell>
          <cell r="T86">
            <v>5264.308</v>
          </cell>
          <cell r="U86">
            <v>5494.1819999999998</v>
          </cell>
          <cell r="V86">
            <v>5393.1109999999999</v>
          </cell>
          <cell r="W86">
            <v>5625.7089999999998</v>
          </cell>
          <cell r="X86">
            <v>5.8730000000000002</v>
          </cell>
          <cell r="Y86">
            <v>2.624000000000001</v>
          </cell>
          <cell r="Z86">
            <v>0.32</v>
          </cell>
          <cell r="AA86">
            <v>-0.6169999999999991</v>
          </cell>
          <cell r="AB86">
            <v>300.30399999999997</v>
          </cell>
          <cell r="AC86">
            <v>179</v>
          </cell>
          <cell r="AD86">
            <v>5.5529999999999999</v>
          </cell>
          <cell r="AE86">
            <v>3.2410000000000001</v>
          </cell>
          <cell r="AF86">
            <v>57.475659774655533</v>
          </cell>
          <cell r="AG86">
            <v>34.917767681752835</v>
          </cell>
          <cell r="AH86">
            <v>10741.528</v>
          </cell>
          <cell r="AI86">
            <v>8738.0659999999989</v>
          </cell>
        </row>
        <row r="87">
          <cell r="A87" t="str">
            <v>Greenland</v>
          </cell>
          <cell r="B87">
            <v>304</v>
          </cell>
          <cell r="C87" t="str">
            <v>-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>
            <v>14394.935000000001</v>
          </cell>
          <cell r="S87">
            <v>16295.102000000001</v>
          </cell>
          <cell r="T87">
            <v>29.972000000000001</v>
          </cell>
          <cell r="U87">
            <v>30.224</v>
          </cell>
          <cell r="V87">
            <v>25.795000000000002</v>
          </cell>
          <cell r="W87">
            <v>26.695</v>
          </cell>
          <cell r="X87">
            <v>1.5209999999999981</v>
          </cell>
          <cell r="Y87">
            <v>2.5670000000000002</v>
          </cell>
          <cell r="Z87">
            <v>9.291999999999998</v>
          </cell>
          <cell r="AA87">
            <v>5.75</v>
          </cell>
          <cell r="AB87">
            <v>-2.1749999999999998</v>
          </cell>
          <cell r="AC87">
            <v>-0.9</v>
          </cell>
          <cell r="AD87">
            <v>-7.7709999999999999</v>
          </cell>
          <cell r="AE87">
            <v>-3.1829999999999998</v>
          </cell>
          <cell r="AF87">
            <v>-45.293627655143695</v>
          </cell>
          <cell r="AG87">
            <v>-23.09468822170901</v>
          </cell>
          <cell r="AH87">
            <v>59.21</v>
          </cell>
          <cell r="AI87">
            <v>61.526000000000003</v>
          </cell>
        </row>
        <row r="88">
          <cell r="A88" t="str">
            <v>Grenada</v>
          </cell>
          <cell r="B88">
            <v>308</v>
          </cell>
          <cell r="C88" t="str">
            <v>--</v>
          </cell>
          <cell r="D88" t="str">
            <v>--</v>
          </cell>
          <cell r="E88">
            <v>1952</v>
          </cell>
          <cell r="F88" t="str">
            <v>-</v>
          </cell>
          <cell r="G88" t="str">
            <v>--</v>
          </cell>
          <cell r="H88">
            <v>2004</v>
          </cell>
          <cell r="I88">
            <v>2004</v>
          </cell>
          <cell r="J88" t="str">
            <v>Satisfactory</v>
          </cell>
          <cell r="K88" t="str">
            <v>Satisfactory</v>
          </cell>
          <cell r="L88" t="str">
            <v>Maintain</v>
          </cell>
          <cell r="M88" t="str">
            <v>Maintain</v>
          </cell>
          <cell r="N88" t="str">
            <v>Too high</v>
          </cell>
          <cell r="O88" t="str">
            <v>Too high</v>
          </cell>
          <cell r="P88" t="str">
            <v>Lower</v>
          </cell>
          <cell r="Q88" t="str">
            <v>Lower</v>
          </cell>
          <cell r="R88">
            <v>38541.623999999996</v>
          </cell>
          <cell r="S88">
            <v>45600.243999999999</v>
          </cell>
          <cell r="T88">
            <v>48.911000000000001</v>
          </cell>
          <cell r="U88">
            <v>51.192999999999998</v>
          </cell>
          <cell r="V88">
            <v>50.524999999999999</v>
          </cell>
          <cell r="W88">
            <v>51.731000000000002</v>
          </cell>
          <cell r="X88">
            <v>4.2839999999999989</v>
          </cell>
          <cell r="Y88">
            <v>2.6109999999999989</v>
          </cell>
          <cell r="Z88">
            <v>16.222999999999999</v>
          </cell>
          <cell r="AA88">
            <v>14.345999999999998</v>
          </cell>
          <cell r="AB88">
            <v>-6</v>
          </cell>
          <cell r="AC88">
            <v>-6</v>
          </cell>
          <cell r="AD88">
            <v>-11.939</v>
          </cell>
          <cell r="AE88">
            <v>-11.734999999999999</v>
          </cell>
          <cell r="AF88">
            <v>-49.86702127659575</v>
          </cell>
          <cell r="AG88">
            <v>-54.510765876260557</v>
          </cell>
          <cell r="AH88">
            <v>157.24799999999999</v>
          </cell>
          <cell r="AI88">
            <v>157.24799999999999</v>
          </cell>
        </row>
        <row r="89">
          <cell r="A89" t="str">
            <v>Guadeloupe</v>
          </cell>
          <cell r="B89">
            <v>312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 t="str">
            <v>-</v>
          </cell>
          <cell r="Q89" t="str">
            <v>-</v>
          </cell>
          <cell r="R89">
            <v>607.11699999999996</v>
          </cell>
          <cell r="S89">
            <v>797.90200000000004</v>
          </cell>
          <cell r="T89">
            <v>199.107</v>
          </cell>
          <cell r="U89">
            <v>216.375</v>
          </cell>
          <cell r="V89">
            <v>210.37799999999999</v>
          </cell>
          <cell r="W89">
            <v>232.10900000000001</v>
          </cell>
          <cell r="X89">
            <v>9.6190000000000033</v>
          </cell>
          <cell r="Y89">
            <v>8.5730000000000022</v>
          </cell>
          <cell r="Z89">
            <v>12.002000000000002</v>
          </cell>
          <cell r="AA89">
            <v>10.167000000000002</v>
          </cell>
          <cell r="AB89">
            <v>-5</v>
          </cell>
          <cell r="AC89">
            <v>-3.5</v>
          </cell>
          <cell r="AD89">
            <v>-2.383</v>
          </cell>
          <cell r="AE89">
            <v>-1.5940000000000001</v>
          </cell>
          <cell r="AF89">
            <v>-13.212134023887536</v>
          </cell>
          <cell r="AG89">
            <v>-9.7861037326995657</v>
          </cell>
          <cell r="AH89">
            <v>474.13800000000003</v>
          </cell>
          <cell r="AI89">
            <v>528.43399999999997</v>
          </cell>
        </row>
        <row r="90">
          <cell r="A90" t="str">
            <v>Guam</v>
          </cell>
          <cell r="B90">
            <v>316</v>
          </cell>
          <cell r="C90" t="str">
            <v>-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  <cell r="P90" t="str">
            <v>-</v>
          </cell>
          <cell r="Q90" t="str">
            <v>-</v>
          </cell>
          <cell r="R90">
            <v>2915.5940000000001</v>
          </cell>
          <cell r="S90">
            <v>3998.904</v>
          </cell>
          <cell r="T90">
            <v>75.846000000000004</v>
          </cell>
          <cell r="U90">
            <v>86.387</v>
          </cell>
          <cell r="V90">
            <v>69.727000000000004</v>
          </cell>
          <cell r="W90">
            <v>83.248000000000005</v>
          </cell>
          <cell r="X90">
            <v>13.039</v>
          </cell>
          <cell r="Y90">
            <v>17.54</v>
          </cell>
          <cell r="Z90">
            <v>20.936</v>
          </cell>
          <cell r="AA90">
            <v>17.54</v>
          </cell>
          <cell r="AB90">
            <v>-5.9420000000000002</v>
          </cell>
          <cell r="AC90">
            <v>0</v>
          </cell>
          <cell r="AD90">
            <v>-7.8970000000000002</v>
          </cell>
          <cell r="AE90">
            <v>0</v>
          </cell>
          <cell r="AF90">
            <v>-30.88678656825034</v>
          </cell>
          <cell r="AG90">
            <v>0</v>
          </cell>
          <cell r="AH90">
            <v>253.536</v>
          </cell>
          <cell r="AI90">
            <v>253.536</v>
          </cell>
        </row>
        <row r="91">
          <cell r="A91" t="str">
            <v>Guatemala</v>
          </cell>
          <cell r="B91">
            <v>320</v>
          </cell>
          <cell r="C91">
            <v>1983</v>
          </cell>
          <cell r="D91">
            <v>1983</v>
          </cell>
          <cell r="E91">
            <v>1952</v>
          </cell>
          <cell r="F91" t="str">
            <v>-</v>
          </cell>
          <cell r="G91">
            <v>2003</v>
          </cell>
          <cell r="H91">
            <v>2004</v>
          </cell>
          <cell r="I91">
            <v>2004</v>
          </cell>
          <cell r="J91" t="str">
            <v>Satisfactory</v>
          </cell>
          <cell r="K91" t="str">
            <v>Too high</v>
          </cell>
          <cell r="L91" t="str">
            <v>No intervention</v>
          </cell>
          <cell r="M91" t="str">
            <v>No intervention</v>
          </cell>
          <cell r="N91" t="str">
            <v>Too high</v>
          </cell>
          <cell r="O91" t="str">
            <v>Satisfactory</v>
          </cell>
          <cell r="P91" t="str">
            <v>No intervention</v>
          </cell>
          <cell r="Q91" t="str">
            <v>No intervention</v>
          </cell>
          <cell r="R91">
            <v>19.954999999999998</v>
          </cell>
          <cell r="S91">
            <v>17.954000000000001</v>
          </cell>
          <cell r="T91">
            <v>4953.8149999999996</v>
          </cell>
          <cell r="U91">
            <v>6138.75</v>
          </cell>
          <cell r="V91">
            <v>5016.5519999999997</v>
          </cell>
          <cell r="W91">
            <v>6460.3090000000002</v>
          </cell>
          <cell r="X91">
            <v>22.634</v>
          </cell>
          <cell r="Y91">
            <v>24.114000000000001</v>
          </cell>
          <cell r="Z91">
            <v>30.015000000000001</v>
          </cell>
          <cell r="AA91">
            <v>29.163</v>
          </cell>
          <cell r="AB91">
            <v>-390</v>
          </cell>
          <cell r="AC91">
            <v>-300</v>
          </cell>
          <cell r="AD91">
            <v>-7.3810000000000002</v>
          </cell>
          <cell r="AE91">
            <v>-5.0490000000000004</v>
          </cell>
          <cell r="AF91">
            <v>-19.754217018815133</v>
          </cell>
          <cell r="AG91">
            <v>-14.101243165597477</v>
          </cell>
          <cell r="AH91">
            <v>25612.004000000001</v>
          </cell>
          <cell r="AI91">
            <v>28183.642</v>
          </cell>
        </row>
        <row r="92">
          <cell r="A92" t="str">
            <v>Guinea</v>
          </cell>
          <cell r="B92">
            <v>324</v>
          </cell>
          <cell r="C92">
            <v>1965</v>
          </cell>
          <cell r="D92">
            <v>1968</v>
          </cell>
          <cell r="E92" t="str">
            <v>-</v>
          </cell>
          <cell r="F92">
            <v>1978</v>
          </cell>
          <cell r="G92">
            <v>2000</v>
          </cell>
          <cell r="H92">
            <v>2004</v>
          </cell>
          <cell r="I92">
            <v>2005</v>
          </cell>
          <cell r="J92" t="str">
            <v>Satisfactory</v>
          </cell>
          <cell r="K92" t="str">
            <v>Satisfactory</v>
          </cell>
          <cell r="L92" t="str">
            <v>Lower</v>
          </cell>
          <cell r="M92" t="str">
            <v>No intervention</v>
          </cell>
          <cell r="N92" t="str">
            <v>Satisfactory</v>
          </cell>
          <cell r="O92" t="str">
            <v>Satisfactory</v>
          </cell>
          <cell r="P92" t="str">
            <v>No intervention</v>
          </cell>
          <cell r="Q92" t="str">
            <v>No intervention</v>
          </cell>
          <cell r="R92">
            <v>3474.8969999999999</v>
          </cell>
          <cell r="S92">
            <v>4327.2280000000001</v>
          </cell>
          <cell r="T92">
            <v>3846.3220000000001</v>
          </cell>
          <cell r="U92">
            <v>4818.4949999999999</v>
          </cell>
          <cell r="V92">
            <v>3678.4929999999999</v>
          </cell>
          <cell r="W92">
            <v>4583.6030000000001</v>
          </cell>
          <cell r="X92">
            <v>22.786999999999995</v>
          </cell>
          <cell r="Y92">
            <v>21.712</v>
          </cell>
          <cell r="Z92">
            <v>28.476999999999997</v>
          </cell>
          <cell r="AA92">
            <v>28.422000000000001</v>
          </cell>
          <cell r="AB92">
            <v>-227</v>
          </cell>
          <cell r="AC92">
            <v>-299.21899999999999</v>
          </cell>
          <cell r="AD92">
            <v>-5.69</v>
          </cell>
          <cell r="AE92">
            <v>-6.71</v>
          </cell>
          <cell r="AF92">
            <v>-13.019257604078069</v>
          </cell>
          <cell r="AG92">
            <v>-15.901035095905</v>
          </cell>
          <cell r="AH92">
            <v>22986.849000000002</v>
          </cell>
          <cell r="AI92">
            <v>23717.040000000001</v>
          </cell>
        </row>
        <row r="93">
          <cell r="A93" t="str">
            <v>Guinea-Bissau</v>
          </cell>
          <cell r="B93">
            <v>624</v>
          </cell>
          <cell r="C93">
            <v>1976</v>
          </cell>
          <cell r="D93">
            <v>1976</v>
          </cell>
          <cell r="E93" t="str">
            <v>-</v>
          </cell>
          <cell r="F93" t="str">
            <v>-</v>
          </cell>
          <cell r="G93" t="str">
            <v>--</v>
          </cell>
          <cell r="H93" t="str">
            <v>--</v>
          </cell>
          <cell r="I93" t="str">
            <v>--</v>
          </cell>
          <cell r="J93" t="str">
            <v>Satisfactory</v>
          </cell>
          <cell r="K93" t="str">
            <v>Satisfactory</v>
          </cell>
          <cell r="L93" t="str">
            <v>No intervention</v>
          </cell>
          <cell r="M93" t="str">
            <v>No intervention</v>
          </cell>
          <cell r="N93" t="str">
            <v>Too high</v>
          </cell>
          <cell r="O93" t="str">
            <v>Too high</v>
          </cell>
          <cell r="P93" t="str">
            <v>Lower</v>
          </cell>
          <cell r="Q93" t="str">
            <v>Lower</v>
          </cell>
          <cell r="R93">
            <v>14755.305</v>
          </cell>
          <cell r="S93">
            <v>18153.866999999998</v>
          </cell>
          <cell r="T93">
            <v>586.07399999999996</v>
          </cell>
          <cell r="U93">
            <v>783.60900000000004</v>
          </cell>
          <cell r="V93">
            <v>603.25699999999995</v>
          </cell>
          <cell r="W93">
            <v>802.73500000000001</v>
          </cell>
          <cell r="X93">
            <v>27.603000000000002</v>
          </cell>
          <cell r="Y93">
            <v>29.905000000000001</v>
          </cell>
          <cell r="Z93">
            <v>29.279</v>
          </cell>
          <cell r="AA93">
            <v>29.745000000000001</v>
          </cell>
          <cell r="AB93">
            <v>-10.702999999999999</v>
          </cell>
          <cell r="AC93">
            <v>1.181</v>
          </cell>
          <cell r="AD93">
            <v>-1.6759999999999999</v>
          </cell>
          <cell r="AE93">
            <v>0.16</v>
          </cell>
          <cell r="AF93">
            <v>-3.3473653923138511</v>
          </cell>
          <cell r="AG93">
            <v>0.32165112428098308</v>
          </cell>
          <cell r="AH93">
            <v>5311.9610000000002</v>
          </cell>
          <cell r="AI93">
            <v>5420.4189999999999</v>
          </cell>
        </row>
        <row r="94">
          <cell r="A94" t="str">
            <v>Guyana</v>
          </cell>
          <cell r="B94">
            <v>328</v>
          </cell>
          <cell r="C94" t="str">
            <v>--</v>
          </cell>
          <cell r="D94" t="str">
            <v>--</v>
          </cell>
          <cell r="E94">
            <v>1966</v>
          </cell>
          <cell r="F94" t="str">
            <v>-</v>
          </cell>
          <cell r="G94" t="str">
            <v>--</v>
          </cell>
          <cell r="H94">
            <v>2004</v>
          </cell>
          <cell r="I94" t="str">
            <v>-</v>
          </cell>
          <cell r="J94" t="str">
            <v>Satisfactory</v>
          </cell>
          <cell r="K94" t="str">
            <v>Satisfactory</v>
          </cell>
          <cell r="L94" t="str">
            <v>Raise</v>
          </cell>
          <cell r="M94" t="str">
            <v>Maintain</v>
          </cell>
          <cell r="N94" t="str">
            <v>Too high</v>
          </cell>
          <cell r="O94" t="str">
            <v>Too high</v>
          </cell>
          <cell r="P94" t="str">
            <v>No intervention</v>
          </cell>
          <cell r="Q94" t="str">
            <v>No intervention</v>
          </cell>
          <cell r="R94">
            <v>4669.0020000000004</v>
          </cell>
          <cell r="S94">
            <v>4551.3379999999997</v>
          </cell>
          <cell r="T94">
            <v>355.49</v>
          </cell>
          <cell r="U94">
            <v>364.39800000000002</v>
          </cell>
          <cell r="V94">
            <v>376.83100000000002</v>
          </cell>
          <cell r="W94">
            <v>386.82</v>
          </cell>
          <cell r="X94">
            <v>3.0790000000000024</v>
          </cell>
          <cell r="Y94">
            <v>2.0170000000000012</v>
          </cell>
          <cell r="Z94">
            <v>13.919000000000002</v>
          </cell>
          <cell r="AA94">
            <v>12.72</v>
          </cell>
          <cell r="AB94">
            <v>-40</v>
          </cell>
          <cell r="AC94">
            <v>-40</v>
          </cell>
          <cell r="AD94">
            <v>-10.84</v>
          </cell>
          <cell r="AE94">
            <v>-10.702999999999999</v>
          </cell>
          <cell r="AF94">
            <v>-45.50573941138326</v>
          </cell>
          <cell r="AG94">
            <v>-48.965002264631352</v>
          </cell>
          <cell r="AH94">
            <v>488.42200000000003</v>
          </cell>
          <cell r="AI94">
            <v>961.88499999999999</v>
          </cell>
        </row>
        <row r="95">
          <cell r="A95" t="str">
            <v>Haiti</v>
          </cell>
          <cell r="B95">
            <v>332</v>
          </cell>
          <cell r="C95">
            <v>1984</v>
          </cell>
          <cell r="D95">
            <v>1984</v>
          </cell>
          <cell r="E95" t="str">
            <v>-</v>
          </cell>
          <cell r="F95" t="str">
            <v>-</v>
          </cell>
          <cell r="G95" t="str">
            <v>--</v>
          </cell>
          <cell r="H95" t="str">
            <v>--</v>
          </cell>
          <cell r="I95" t="str">
            <v>--</v>
          </cell>
          <cell r="J95" t="str">
            <v>Satisfactory</v>
          </cell>
          <cell r="K95" t="str">
            <v>Satisfactory</v>
          </cell>
          <cell r="L95" t="str">
            <v>Maintain</v>
          </cell>
          <cell r="M95" t="str">
            <v>Maintain</v>
          </cell>
          <cell r="N95" t="str">
            <v>Too high</v>
          </cell>
          <cell r="O95" t="str">
            <v>Too high</v>
          </cell>
          <cell r="P95" t="str">
            <v>Lower</v>
          </cell>
          <cell r="Q95" t="str">
            <v>Lower</v>
          </cell>
          <cell r="R95">
            <v>10866.780999999999</v>
          </cell>
          <cell r="S95">
            <v>11269.4</v>
          </cell>
          <cell r="T95">
            <v>3624.7260000000001</v>
          </cell>
          <cell r="U95">
            <v>4201.9930000000004</v>
          </cell>
          <cell r="V95">
            <v>3766.5390000000002</v>
          </cell>
          <cell r="W95">
            <v>4325.7839999999997</v>
          </cell>
          <cell r="X95">
            <v>14.285999999999996</v>
          </cell>
          <cell r="Y95">
            <v>14.307</v>
          </cell>
          <cell r="Z95">
            <v>17.025999999999996</v>
          </cell>
          <cell r="AA95">
            <v>16.858000000000001</v>
          </cell>
          <cell r="AB95">
            <v>-105</v>
          </cell>
          <cell r="AC95">
            <v>-105</v>
          </cell>
          <cell r="AD95">
            <v>-2.74</v>
          </cell>
          <cell r="AE95">
            <v>-2.5510000000000002</v>
          </cell>
          <cell r="AF95">
            <v>-8.6625586888351158</v>
          </cell>
          <cell r="AG95">
            <v>-8.3770535748477766</v>
          </cell>
          <cell r="AH95">
            <v>12996.031999999999</v>
          </cell>
          <cell r="AI95">
            <v>14266.468000000001</v>
          </cell>
        </row>
        <row r="96">
          <cell r="A96" t="str">
            <v>Holy See</v>
          </cell>
          <cell r="B96">
            <v>336</v>
          </cell>
          <cell r="C96">
            <v>1956</v>
          </cell>
          <cell r="D96">
            <v>1967</v>
          </cell>
          <cell r="E96" t="str">
            <v>-</v>
          </cell>
          <cell r="F96" t="str">
            <v>-</v>
          </cell>
          <cell r="G96" t="str">
            <v>--</v>
          </cell>
          <cell r="H96" t="str">
            <v>--</v>
          </cell>
          <cell r="I96" t="str">
            <v>--</v>
          </cell>
          <cell r="J96" t="str">
            <v>Satisfactory</v>
          </cell>
          <cell r="K96" t="str">
            <v>Satisfactory</v>
          </cell>
          <cell r="L96" t="str">
            <v>Maintain</v>
          </cell>
          <cell r="M96" t="str">
            <v>Maintain</v>
          </cell>
          <cell r="N96" t="str">
            <v>Satisfactory</v>
          </cell>
          <cell r="O96" t="str">
            <v>Satisfactory</v>
          </cell>
          <cell r="P96" t="str">
            <v>Maintain</v>
          </cell>
          <cell r="Q96" t="str">
            <v>Maintain</v>
          </cell>
          <cell r="R96">
            <v>10330.758999999998</v>
          </cell>
          <cell r="S96">
            <v>10219.602999999999</v>
          </cell>
          <cell r="T96">
            <v>0.378</v>
          </cell>
          <cell r="U96">
            <v>0.375</v>
          </cell>
          <cell r="V96">
            <v>0.40300000000000002</v>
          </cell>
          <cell r="W96">
            <v>0.40799999999999997</v>
          </cell>
          <cell r="X96">
            <v>1.53</v>
          </cell>
          <cell r="Y96">
            <v>-1.0189999999999984</v>
          </cell>
          <cell r="Z96">
            <v>-9.4390000000000001</v>
          </cell>
          <cell r="AA96">
            <v>-12.483999999999998</v>
          </cell>
          <cell r="AB96">
            <v>4.2999999999999997E-2</v>
          </cell>
          <cell r="AC96">
            <v>4.4999999999999998E-2</v>
          </cell>
          <cell r="AD96">
            <v>10.968999999999999</v>
          </cell>
          <cell r="AE96">
            <v>11.465</v>
          </cell>
          <cell r="AF96">
            <v>226.31578947368419</v>
          </cell>
          <cell r="AG96">
            <v>236.84210526315786</v>
          </cell>
          <cell r="AH96">
            <v>0.76600000000000001</v>
          </cell>
          <cell r="AI96">
            <v>0.32500000000000001</v>
          </cell>
        </row>
        <row r="97">
          <cell r="A97" t="str">
            <v>Honduras</v>
          </cell>
          <cell r="B97">
            <v>340</v>
          </cell>
          <cell r="C97">
            <v>1992</v>
          </cell>
          <cell r="D97">
            <v>1992</v>
          </cell>
          <cell r="E97" t="str">
            <v>-</v>
          </cell>
          <cell r="F97" t="str">
            <v>-</v>
          </cell>
          <cell r="G97">
            <v>2005</v>
          </cell>
          <cell r="H97" t="str">
            <v>--</v>
          </cell>
          <cell r="I97" t="str">
            <v>--</v>
          </cell>
          <cell r="J97" t="str">
            <v>Satisfactory</v>
          </cell>
          <cell r="K97" t="str">
            <v>Satisfactory</v>
          </cell>
          <cell r="L97" t="str">
            <v>Lower</v>
          </cell>
          <cell r="M97" t="str">
            <v>Maintain</v>
          </cell>
          <cell r="N97" t="str">
            <v>Satisfactory</v>
          </cell>
          <cell r="O97" t="str">
            <v>Satisfactory</v>
          </cell>
          <cell r="P97" t="str">
            <v>No intervention</v>
          </cell>
          <cell r="Q97" t="str">
            <v>No intervention</v>
          </cell>
          <cell r="R97">
            <v>44998.561000000002</v>
          </cell>
          <cell r="S97">
            <v>57548.744000000006</v>
          </cell>
          <cell r="T97">
            <v>2833.0349999999999</v>
          </cell>
          <cell r="U97">
            <v>3631.3139999999999</v>
          </cell>
          <cell r="V97">
            <v>2791.9189999999999</v>
          </cell>
          <cell r="W97">
            <v>3573.4090000000001</v>
          </cell>
          <cell r="X97">
            <v>26.536999999999999</v>
          </cell>
          <cell r="Y97">
            <v>22.904000000000003</v>
          </cell>
          <cell r="Z97">
            <v>27.201000000000001</v>
          </cell>
          <cell r="AA97">
            <v>23.784000000000002</v>
          </cell>
          <cell r="AB97">
            <v>-20</v>
          </cell>
          <cell r="AC97">
            <v>-30</v>
          </cell>
          <cell r="AD97">
            <v>-0.66400000000000003</v>
          </cell>
          <cell r="AE97">
            <v>-0.88</v>
          </cell>
          <cell r="AF97">
            <v>-1.9850052701889924</v>
          </cell>
          <cell r="AG97">
            <v>-2.9405307069819959</v>
          </cell>
          <cell r="AH97">
            <v>12775.974</v>
          </cell>
          <cell r="AI97">
            <v>13172.945</v>
          </cell>
        </row>
        <row r="98">
          <cell r="A98" t="str">
            <v>Hungary</v>
          </cell>
          <cell r="B98">
            <v>348</v>
          </cell>
          <cell r="C98">
            <v>1989</v>
          </cell>
          <cell r="D98">
            <v>1989</v>
          </cell>
          <cell r="E98" t="str">
            <v>-</v>
          </cell>
          <cell r="F98" t="str">
            <v>-</v>
          </cell>
          <cell r="G98" t="str">
            <v>--</v>
          </cell>
          <cell r="H98" t="str">
            <v>--</v>
          </cell>
          <cell r="I98" t="str">
            <v>--</v>
          </cell>
          <cell r="J98" t="str">
            <v>Satisfactory</v>
          </cell>
          <cell r="K98" t="str">
            <v>Satisfactory</v>
          </cell>
          <cell r="L98" t="str">
            <v>Lower</v>
          </cell>
          <cell r="M98" t="str">
            <v>Maintain</v>
          </cell>
          <cell r="N98" t="str">
            <v>Satisfactory</v>
          </cell>
          <cell r="O98" t="str">
            <v>Satisfactory</v>
          </cell>
          <cell r="P98" t="str">
            <v>No intervention</v>
          </cell>
          <cell r="Q98" t="str">
            <v>No intervention</v>
          </cell>
          <cell r="R98">
            <v>5227.8609999999999</v>
          </cell>
          <cell r="S98">
            <v>5430.59</v>
          </cell>
          <cell r="T98">
            <v>4941.6450000000004</v>
          </cell>
          <cell r="U98">
            <v>4807.78</v>
          </cell>
          <cell r="V98">
            <v>5387.3230000000003</v>
          </cell>
          <cell r="W98">
            <v>5289.951</v>
          </cell>
          <cell r="X98">
            <v>-2.0090000000000003</v>
          </cell>
          <cell r="Y98">
            <v>-2.52</v>
          </cell>
          <cell r="Z98">
            <v>-3.9550000000000001</v>
          </cell>
          <cell r="AA98">
            <v>-3.5039999999999996</v>
          </cell>
          <cell r="AB98">
            <v>100</v>
          </cell>
          <cell r="AC98">
            <v>50</v>
          </cell>
          <cell r="AD98">
            <v>1.946</v>
          </cell>
          <cell r="AE98">
            <v>0.98399999999999999</v>
          </cell>
          <cell r="AF98">
            <v>19.726239251665387</v>
          </cell>
          <cell r="AG98">
            <v>10.398231468791789</v>
          </cell>
          <cell r="AH98">
            <v>8262.3060000000005</v>
          </cell>
          <cell r="AI98">
            <v>7869.7569999999996</v>
          </cell>
        </row>
        <row r="99">
          <cell r="A99" t="str">
            <v>Iceland</v>
          </cell>
          <cell r="B99">
            <v>352</v>
          </cell>
          <cell r="C99">
            <v>1955</v>
          </cell>
          <cell r="D99">
            <v>1968</v>
          </cell>
          <cell r="E99" t="str">
            <v>-</v>
          </cell>
          <cell r="F99" t="str">
            <v>-</v>
          </cell>
          <cell r="G99" t="str">
            <v>--</v>
          </cell>
          <cell r="H99" t="str">
            <v>--</v>
          </cell>
          <cell r="I99" t="str">
            <v>--</v>
          </cell>
          <cell r="J99" t="str">
            <v>Satisfactory</v>
          </cell>
          <cell r="K99" t="str">
            <v>Satisfactory</v>
          </cell>
          <cell r="L99" t="str">
            <v>Maintain</v>
          </cell>
          <cell r="M99" t="str">
            <v>No intervention</v>
          </cell>
          <cell r="N99" t="str">
            <v>Satisfactory</v>
          </cell>
          <cell r="O99" t="str">
            <v>Satisfactory</v>
          </cell>
          <cell r="P99" t="str">
            <v>Maintain</v>
          </cell>
          <cell r="Q99" t="str">
            <v>No intervention</v>
          </cell>
          <cell r="R99">
            <v>608.73099999999999</v>
          </cell>
          <cell r="S99">
            <v>793.07799999999997</v>
          </cell>
          <cell r="T99">
            <v>134.10599999999999</v>
          </cell>
          <cell r="U99">
            <v>147.292</v>
          </cell>
          <cell r="V99">
            <v>133.37200000000001</v>
          </cell>
          <cell r="W99">
            <v>147.26900000000001</v>
          </cell>
          <cell r="X99">
            <v>10.057</v>
          </cell>
          <cell r="Y99">
            <v>9.23</v>
          </cell>
          <cell r="Z99">
            <v>8.75</v>
          </cell>
          <cell r="AA99">
            <v>8.0050000000000008</v>
          </cell>
          <cell r="AB99">
            <v>1.7929999999999999</v>
          </cell>
          <cell r="AC99">
            <v>1.7629999999999999</v>
          </cell>
          <cell r="AD99">
            <v>1.3069999999999999</v>
          </cell>
          <cell r="AE99">
            <v>1.2250000000000001</v>
          </cell>
          <cell r="AF99">
            <v>8.4368530020703929</v>
          </cell>
          <cell r="AG99">
            <v>8.5325718710676615</v>
          </cell>
          <cell r="AH99">
            <v>370.077</v>
          </cell>
          <cell r="AI99">
            <v>345.34400000000005</v>
          </cell>
        </row>
        <row r="100">
          <cell r="A100" t="str">
            <v>India</v>
          </cell>
          <cell r="B100">
            <v>356</v>
          </cell>
          <cell r="C100" t="str">
            <v>--</v>
          </cell>
          <cell r="D100" t="str">
            <v>--</v>
          </cell>
          <cell r="E100" t="str">
            <v>-</v>
          </cell>
          <cell r="F100" t="str">
            <v>-</v>
          </cell>
          <cell r="G100" t="str">
            <v>--</v>
          </cell>
          <cell r="H100" t="str">
            <v>--</v>
          </cell>
          <cell r="I100" t="str">
            <v>--</v>
          </cell>
          <cell r="J100" t="str">
            <v>Satisfactory</v>
          </cell>
          <cell r="K100" t="str">
            <v>Satisfactory</v>
          </cell>
          <cell r="L100" t="str">
            <v>Maintain</v>
          </cell>
          <cell r="M100" t="str">
            <v>Maintain</v>
          </cell>
          <cell r="N100" t="str">
            <v>Satisfactory</v>
          </cell>
          <cell r="O100" t="str">
            <v>Too low</v>
          </cell>
          <cell r="P100" t="str">
            <v>Maintain</v>
          </cell>
          <cell r="Q100" t="str">
            <v>Raise</v>
          </cell>
          <cell r="R100">
            <v>75.080999999999989</v>
          </cell>
          <cell r="S100">
            <v>78.94</v>
          </cell>
          <cell r="T100">
            <v>482255.4</v>
          </cell>
          <cell r="U100">
            <v>565777.87300000002</v>
          </cell>
          <cell r="V100">
            <v>453316.64500000002</v>
          </cell>
          <cell r="W100">
            <v>537592.929</v>
          </cell>
          <cell r="X100">
            <v>17.480999999999998</v>
          </cell>
          <cell r="Y100">
            <v>15.493</v>
          </cell>
          <cell r="Z100">
            <v>17.766999999999999</v>
          </cell>
          <cell r="AA100">
            <v>15.757</v>
          </cell>
          <cell r="AB100">
            <v>-1400</v>
          </cell>
          <cell r="AC100">
            <v>-1400</v>
          </cell>
          <cell r="AD100">
            <v>-0.28599999999999998</v>
          </cell>
          <cell r="AE100">
            <v>-0.26400000000000001</v>
          </cell>
          <cell r="AF100">
            <v>-1.0530989331686569</v>
          </cell>
          <cell r="AG100">
            <v>-1.0727176524003263</v>
          </cell>
          <cell r="AH100">
            <v>1592704.0049999999</v>
          </cell>
          <cell r="AI100">
            <v>1607197.5180000002</v>
          </cell>
        </row>
        <row r="101">
          <cell r="A101" t="str">
            <v>Indonesia</v>
          </cell>
          <cell r="B101">
            <v>360</v>
          </cell>
          <cell r="C101" t="str">
            <v>--</v>
          </cell>
          <cell r="D101" t="str">
            <v>--</v>
          </cell>
          <cell r="E101" t="str">
            <v>-</v>
          </cell>
          <cell r="F101" t="str">
            <v>-</v>
          </cell>
          <cell r="G101" t="str">
            <v>--</v>
          </cell>
          <cell r="H101" t="str">
            <v>--</v>
          </cell>
          <cell r="I101" t="str">
            <v>--</v>
          </cell>
          <cell r="J101" t="str">
            <v>Too high</v>
          </cell>
          <cell r="K101" t="str">
            <v>Too low</v>
          </cell>
          <cell r="L101" t="str">
            <v>Lower</v>
          </cell>
          <cell r="M101" t="str">
            <v>Maintain</v>
          </cell>
          <cell r="N101" t="str">
            <v>Satisfactory</v>
          </cell>
          <cell r="O101" t="str">
            <v>Too low</v>
          </cell>
          <cell r="P101" t="str">
            <v>No intervention</v>
          </cell>
          <cell r="Q101" t="str">
            <v>Raise</v>
          </cell>
          <cell r="R101">
            <v>7672.3449999999993</v>
          </cell>
          <cell r="S101">
            <v>8894.9069999999992</v>
          </cell>
          <cell r="T101">
            <v>97985.513000000006</v>
          </cell>
          <cell r="U101">
            <v>111230.73299999999</v>
          </cell>
          <cell r="V101">
            <v>97663.873000000007</v>
          </cell>
          <cell r="W101">
            <v>111550.754</v>
          </cell>
          <cell r="X101">
            <v>13.363999999999999</v>
          </cell>
          <cell r="Y101">
            <v>12.601000000000001</v>
          </cell>
          <cell r="Z101">
            <v>14.252999999999998</v>
          </cell>
          <cell r="AA101">
            <v>13.527000000000001</v>
          </cell>
          <cell r="AB101">
            <v>-900</v>
          </cell>
          <cell r="AC101">
            <v>-1000</v>
          </cell>
          <cell r="AD101">
            <v>-0.88900000000000001</v>
          </cell>
          <cell r="AE101">
            <v>-0.92600000000000005</v>
          </cell>
          <cell r="AF101">
            <v>-4.0617807686324374</v>
          </cell>
          <cell r="AG101">
            <v>-4.4136243995043314</v>
          </cell>
          <cell r="AH101">
            <v>284639.58600000001</v>
          </cell>
          <cell r="AI101">
            <v>293442.321</v>
          </cell>
        </row>
        <row r="102">
          <cell r="A102" t="str">
            <v>Iran (Islamic Republic of)</v>
          </cell>
          <cell r="B102">
            <v>364</v>
          </cell>
          <cell r="C102">
            <v>1976</v>
          </cell>
          <cell r="D102">
            <v>1976</v>
          </cell>
          <cell r="E102" t="str">
            <v>-</v>
          </cell>
          <cell r="F102" t="str">
            <v>-</v>
          </cell>
          <cell r="G102" t="str">
            <v>--</v>
          </cell>
          <cell r="H102" t="str">
            <v>--</v>
          </cell>
          <cell r="I102" t="str">
            <v>--</v>
          </cell>
          <cell r="J102" t="str">
            <v>Too high</v>
          </cell>
          <cell r="K102" t="str">
            <v>Too high</v>
          </cell>
          <cell r="L102" t="str">
            <v>Lower</v>
          </cell>
          <cell r="M102" t="str">
            <v>Lower</v>
          </cell>
          <cell r="N102" t="str">
            <v>Satisfactory</v>
          </cell>
          <cell r="O102" t="str">
            <v>Satisfactory</v>
          </cell>
          <cell r="P102" t="str">
            <v>Lower</v>
          </cell>
          <cell r="Q102" t="str">
            <v>Lower</v>
          </cell>
          <cell r="R102">
            <v>11396.394</v>
          </cell>
          <cell r="S102">
            <v>13228.422999999999</v>
          </cell>
          <cell r="T102">
            <v>31753.183000000001</v>
          </cell>
          <cell r="U102">
            <v>35249.557000000001</v>
          </cell>
          <cell r="V102">
            <v>30570.755000000001</v>
          </cell>
          <cell r="W102">
            <v>34265.648999999998</v>
          </cell>
          <cell r="X102">
            <v>12.561</v>
          </cell>
          <cell r="Y102">
            <v>9.2740000000000009</v>
          </cell>
          <cell r="Z102">
            <v>13.978</v>
          </cell>
          <cell r="AA102">
            <v>13.333000000000002</v>
          </cell>
          <cell r="AB102">
            <v>-456</v>
          </cell>
          <cell r="AC102">
            <v>-1378.713</v>
          </cell>
          <cell r="AD102">
            <v>-1.417</v>
          </cell>
          <cell r="AE102">
            <v>-4.0590000000000002</v>
          </cell>
          <cell r="AF102">
            <v>-7.2687427960143696</v>
          </cell>
          <cell r="AG102">
            <v>-21.817467988583562</v>
          </cell>
          <cell r="AH102">
            <v>101944.497</v>
          </cell>
          <cell r="AI102">
            <v>103865.792</v>
          </cell>
        </row>
        <row r="103">
          <cell r="A103" t="str">
            <v>Iraq</v>
          </cell>
          <cell r="B103">
            <v>368</v>
          </cell>
          <cell r="C103" t="str">
            <v>--</v>
          </cell>
          <cell r="D103" t="str">
            <v>--</v>
          </cell>
          <cell r="E103" t="str">
            <v>-</v>
          </cell>
          <cell r="F103" t="str">
            <v>-</v>
          </cell>
          <cell r="G103" t="str">
            <v>--</v>
          </cell>
          <cell r="H103" t="str">
            <v>--</v>
          </cell>
          <cell r="I103" t="str">
            <v>--</v>
          </cell>
          <cell r="J103" t="str">
            <v>Satisfactory</v>
          </cell>
          <cell r="K103" t="str">
            <v>Satisfactory</v>
          </cell>
          <cell r="L103" t="str">
            <v>Maintain</v>
          </cell>
          <cell r="M103" t="str">
            <v>Maintain</v>
          </cell>
          <cell r="N103" t="str">
            <v>Satisfactory</v>
          </cell>
          <cell r="O103" t="str">
            <v>Too high</v>
          </cell>
          <cell r="P103" t="str">
            <v>Maintain</v>
          </cell>
          <cell r="Q103" t="str">
            <v>Lower</v>
          </cell>
          <cell r="R103">
            <v>61224.735000000001</v>
          </cell>
          <cell r="S103">
            <v>74032.883999999991</v>
          </cell>
          <cell r="T103">
            <v>10956.321</v>
          </cell>
          <cell r="U103">
            <v>14586.626</v>
          </cell>
          <cell r="V103">
            <v>10675.550999999999</v>
          </cell>
          <cell r="W103">
            <v>14220.564</v>
          </cell>
          <cell r="X103">
            <v>29.483000000000001</v>
          </cell>
          <cell r="Y103">
            <v>27.71</v>
          </cell>
          <cell r="Z103">
            <v>28.295000000000002</v>
          </cell>
          <cell r="AA103">
            <v>25.927999999999997</v>
          </cell>
          <cell r="AB103">
            <v>138.74700000000001</v>
          </cell>
          <cell r="AC103">
            <v>240</v>
          </cell>
          <cell r="AD103">
            <v>1.1879999999999999</v>
          </cell>
          <cell r="AE103">
            <v>1.782</v>
          </cell>
          <cell r="AF103">
            <v>3.1006565265370547</v>
          </cell>
          <cell r="AG103">
            <v>4.996832216576033</v>
          </cell>
          <cell r="AH103">
            <v>63692.614000000001</v>
          </cell>
          <cell r="AI103">
            <v>63750.816999999995</v>
          </cell>
        </row>
        <row r="104">
          <cell r="A104" t="str">
            <v>Ireland</v>
          </cell>
          <cell r="B104">
            <v>372</v>
          </cell>
          <cell r="C104">
            <v>1956</v>
          </cell>
          <cell r="D104">
            <v>1968</v>
          </cell>
          <cell r="E104" t="str">
            <v>-</v>
          </cell>
          <cell r="F104" t="str">
            <v>-</v>
          </cell>
          <cell r="G104" t="str">
            <v>--</v>
          </cell>
          <cell r="H104" t="str">
            <v>--</v>
          </cell>
          <cell r="I104" t="str">
            <v>--</v>
          </cell>
          <cell r="J104" t="str">
            <v>Satisfactory</v>
          </cell>
          <cell r="K104" t="str">
            <v>Satisfactory</v>
          </cell>
          <cell r="L104" t="str">
            <v>Maintain</v>
          </cell>
          <cell r="M104" t="str">
            <v>Maintain</v>
          </cell>
          <cell r="N104" t="str">
            <v>Too high</v>
          </cell>
          <cell r="O104" t="str">
            <v>Satisfactory</v>
          </cell>
          <cell r="P104" t="str">
            <v>Lower</v>
          </cell>
          <cell r="Q104" t="str">
            <v>No intervention</v>
          </cell>
          <cell r="R104">
            <v>5668.6059999999998</v>
          </cell>
          <cell r="S104">
            <v>6880.951</v>
          </cell>
          <cell r="T104">
            <v>1792.2349999999999</v>
          </cell>
          <cell r="U104">
            <v>2063.3130000000001</v>
          </cell>
          <cell r="V104">
            <v>1816.615</v>
          </cell>
          <cell r="W104">
            <v>2084.5880000000002</v>
          </cell>
          <cell r="X104">
            <v>10.391999999999999</v>
          </cell>
          <cell r="Y104">
            <v>17.437000000000001</v>
          </cell>
          <cell r="Z104">
            <v>5.6059999999999999</v>
          </cell>
          <cell r="AA104">
            <v>7.6749999999999998</v>
          </cell>
          <cell r="AB104">
            <v>88.659000000000006</v>
          </cell>
          <cell r="AC104">
            <v>194</v>
          </cell>
          <cell r="AD104">
            <v>4.7859999999999996</v>
          </cell>
          <cell r="AE104">
            <v>9.7620000000000005</v>
          </cell>
          <cell r="AF104">
            <v>33.720518935201568</v>
          </cell>
          <cell r="AG104">
            <v>63.874200749369493</v>
          </cell>
          <cell r="AH104">
            <v>5762.0820000000003</v>
          </cell>
          <cell r="AI104">
            <v>4735.2</v>
          </cell>
        </row>
        <row r="105">
          <cell r="A105" t="str">
            <v>Isle of Man</v>
          </cell>
          <cell r="B105">
            <v>833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  <cell r="Q105" t="str">
            <v>-</v>
          </cell>
          <cell r="R105">
            <v>398.108</v>
          </cell>
          <cell r="S105">
            <v>503.51900000000001</v>
          </cell>
          <cell r="T105">
            <v>34.912999999999997</v>
          </cell>
          <cell r="U105">
            <v>37.610999999999997</v>
          </cell>
          <cell r="V105">
            <v>37.154000000000003</v>
          </cell>
          <cell r="W105">
            <v>38.927</v>
          </cell>
          <cell r="X105">
            <v>12.535</v>
          </cell>
          <cell r="Y105">
            <v>-0.50099999999999945</v>
          </cell>
          <cell r="Z105">
            <v>-0.65899999999999892</v>
          </cell>
          <cell r="AA105">
            <v>-0.50099999999999945</v>
          </cell>
          <cell r="AB105">
            <v>4.9080000000000004</v>
          </cell>
          <cell r="AC105">
            <v>0</v>
          </cell>
          <cell r="AD105">
            <v>13.194000000000001</v>
          </cell>
          <cell r="AE105">
            <v>0</v>
          </cell>
          <cell r="AF105">
            <v>116.02836879432623</v>
          </cell>
          <cell r="AG105">
            <v>0</v>
          </cell>
          <cell r="AH105">
            <v>68.640999999999991</v>
          </cell>
          <cell r="AI105">
            <v>68.640999999999991</v>
          </cell>
        </row>
        <row r="106">
          <cell r="A106" t="str">
            <v>Israel</v>
          </cell>
          <cell r="B106">
            <v>376</v>
          </cell>
          <cell r="C106">
            <v>1954</v>
          </cell>
          <cell r="D106">
            <v>1968</v>
          </cell>
          <cell r="E106">
            <v>1953</v>
          </cell>
          <cell r="F106" t="str">
            <v>-</v>
          </cell>
          <cell r="G106" t="str">
            <v>--</v>
          </cell>
          <cell r="H106" t="str">
            <v>--</v>
          </cell>
          <cell r="I106" t="str">
            <v>--</v>
          </cell>
          <cell r="J106" t="str">
            <v>Too low</v>
          </cell>
          <cell r="K106" t="str">
            <v>Too low</v>
          </cell>
          <cell r="L106" t="str">
            <v>Raise</v>
          </cell>
          <cell r="M106" t="str">
            <v>Raise</v>
          </cell>
          <cell r="N106" t="str">
            <v>Too high</v>
          </cell>
          <cell r="O106" t="str">
            <v>Too high</v>
          </cell>
          <cell r="P106" t="str">
            <v>Lower</v>
          </cell>
          <cell r="Q106" t="str">
            <v>Lower</v>
          </cell>
          <cell r="R106">
            <v>3097.2570000000001</v>
          </cell>
          <cell r="S106">
            <v>4401.357</v>
          </cell>
          <cell r="T106">
            <v>2650.6529999999998</v>
          </cell>
          <cell r="U106">
            <v>3326.7629999999999</v>
          </cell>
          <cell r="V106">
            <v>2723.2460000000001</v>
          </cell>
          <cell r="W106">
            <v>3397.8009999999999</v>
          </cell>
          <cell r="X106">
            <v>24.795999999999999</v>
          </cell>
          <cell r="Y106">
            <v>19.998000000000001</v>
          </cell>
          <cell r="Z106">
            <v>15.173000000000002</v>
          </cell>
          <cell r="AA106">
            <v>15.056000000000001</v>
          </cell>
          <cell r="AB106">
            <v>275.64</v>
          </cell>
          <cell r="AC106">
            <v>158.25</v>
          </cell>
          <cell r="AD106">
            <v>9.6229999999999993</v>
          </cell>
          <cell r="AE106">
            <v>4.9420000000000002</v>
          </cell>
          <cell r="AF106">
            <v>44.785140510047569</v>
          </cell>
          <cell r="AG106">
            <v>23.84328071489162</v>
          </cell>
          <cell r="AH106">
            <v>10403.297999999999</v>
          </cell>
          <cell r="AI106">
            <v>9895.4670000000006</v>
          </cell>
        </row>
        <row r="107">
          <cell r="A107" t="str">
            <v>Italy</v>
          </cell>
          <cell r="B107">
            <v>380</v>
          </cell>
          <cell r="C107">
            <v>1954</v>
          </cell>
          <cell r="D107">
            <v>1972</v>
          </cell>
          <cell r="E107">
            <v>1952</v>
          </cell>
          <cell r="F107">
            <v>1981</v>
          </cell>
          <cell r="G107" t="str">
            <v>--</v>
          </cell>
          <cell r="H107" t="str">
            <v>--</v>
          </cell>
          <cell r="I107" t="str">
            <v>--</v>
          </cell>
          <cell r="J107" t="str">
            <v>Satisfactory</v>
          </cell>
          <cell r="K107" t="str">
            <v>Too high</v>
          </cell>
          <cell r="L107" t="str">
            <v>Lower</v>
          </cell>
          <cell r="M107" t="str">
            <v>Lower</v>
          </cell>
          <cell r="N107" t="str">
            <v>Satisfactory</v>
          </cell>
          <cell r="O107" t="str">
            <v>Satisfactory</v>
          </cell>
          <cell r="P107" t="str">
            <v>No intervention</v>
          </cell>
          <cell r="Q107" t="str">
            <v>No intervention</v>
          </cell>
          <cell r="R107">
            <v>1446.837</v>
          </cell>
          <cell r="S107">
            <v>1329.6970000000001</v>
          </cell>
          <cell r="T107">
            <v>27804.2</v>
          </cell>
          <cell r="U107">
            <v>28194.563999999998</v>
          </cell>
          <cell r="V107">
            <v>29496.85</v>
          </cell>
          <cell r="W107">
            <v>29898.18</v>
          </cell>
          <cell r="X107">
            <v>1.44</v>
          </cell>
          <cell r="Y107">
            <v>1.3049999999999999</v>
          </cell>
          <cell r="Z107">
            <v>-0.64700000000000024</v>
          </cell>
          <cell r="AA107">
            <v>-0.76700000000000124</v>
          </cell>
          <cell r="AB107">
            <v>600</v>
          </cell>
          <cell r="AC107">
            <v>600</v>
          </cell>
          <cell r="AD107">
            <v>2.0870000000000002</v>
          </cell>
          <cell r="AE107">
            <v>2.0720000000000001</v>
          </cell>
          <cell r="AF107">
            <v>22.637861748314517</v>
          </cell>
          <cell r="AG107">
            <v>22.527224150385742</v>
          </cell>
          <cell r="AH107">
            <v>50911.896999999997</v>
          </cell>
          <cell r="AI107">
            <v>46187.983999999997</v>
          </cell>
        </row>
        <row r="108">
          <cell r="A108" t="str">
            <v>Jamaica</v>
          </cell>
          <cell r="B108">
            <v>388</v>
          </cell>
          <cell r="C108">
            <v>1964</v>
          </cell>
          <cell r="D108">
            <v>1980</v>
          </cell>
          <cell r="E108">
            <v>1962</v>
          </cell>
          <cell r="F108" t="str">
            <v>-</v>
          </cell>
          <cell r="G108" t="str">
            <v>--</v>
          </cell>
          <cell r="H108">
            <v>2003</v>
          </cell>
          <cell r="I108">
            <v>2003</v>
          </cell>
          <cell r="J108" t="str">
            <v>Satisfactory</v>
          </cell>
          <cell r="K108" t="str">
            <v>Satisfactory</v>
          </cell>
          <cell r="L108" t="str">
            <v>Maintain</v>
          </cell>
          <cell r="M108" t="str">
            <v>Maintain</v>
          </cell>
          <cell r="N108" t="str">
            <v>Too high</v>
          </cell>
          <cell r="O108" t="str">
            <v>Too high</v>
          </cell>
          <cell r="P108" t="str">
            <v>Lower</v>
          </cell>
          <cell r="Q108" t="str">
            <v>No intervention</v>
          </cell>
          <cell r="R108">
            <v>60006.933999999994</v>
          </cell>
          <cell r="S108">
            <v>77430.70199999999</v>
          </cell>
          <cell r="T108">
            <v>1224.49</v>
          </cell>
          <cell r="U108">
            <v>1309.5830000000001</v>
          </cell>
          <cell r="V108">
            <v>1259.721</v>
          </cell>
          <cell r="W108">
            <v>1341.13</v>
          </cell>
          <cell r="X108">
            <v>7.9190000000000005</v>
          </cell>
          <cell r="Y108">
            <v>5.0560000000000018</v>
          </cell>
          <cell r="Z108">
            <v>15.81</v>
          </cell>
          <cell r="AA108">
            <v>12.696000000000002</v>
          </cell>
          <cell r="AB108">
            <v>-100</v>
          </cell>
          <cell r="AC108">
            <v>-100</v>
          </cell>
          <cell r="AD108">
            <v>-7.891</v>
          </cell>
          <cell r="AE108">
            <v>-7.64</v>
          </cell>
          <cell r="AF108">
            <v>-34.510843306967047</v>
          </cell>
          <cell r="AG108">
            <v>-37.644082726636199</v>
          </cell>
          <cell r="AH108">
            <v>2585.7950000000001</v>
          </cell>
          <cell r="AI108">
            <v>3753.0309999999999</v>
          </cell>
        </row>
        <row r="109">
          <cell r="A109" t="str">
            <v>Japan</v>
          </cell>
          <cell r="B109">
            <v>392</v>
          </cell>
          <cell r="C109">
            <v>1981</v>
          </cell>
          <cell r="D109">
            <v>1982</v>
          </cell>
          <cell r="E109" t="str">
            <v>-</v>
          </cell>
          <cell r="F109" t="str">
            <v>-</v>
          </cell>
          <cell r="G109" t="str">
            <v>--</v>
          </cell>
          <cell r="H109" t="str">
            <v>--</v>
          </cell>
          <cell r="I109" t="str">
            <v>--</v>
          </cell>
          <cell r="J109" t="str">
            <v>Satisfactory</v>
          </cell>
          <cell r="K109" t="str">
            <v>Satisfactory</v>
          </cell>
          <cell r="L109" t="str">
            <v>Maintain</v>
          </cell>
          <cell r="M109" t="str">
            <v>Maintain</v>
          </cell>
          <cell r="N109" t="str">
            <v>Satisfactory</v>
          </cell>
          <cell r="O109" t="str">
            <v>Satisfactory</v>
          </cell>
          <cell r="P109" t="str">
            <v>No intervention</v>
          </cell>
          <cell r="Q109" t="str">
            <v>No intervention</v>
          </cell>
          <cell r="R109">
            <v>44.048999999999999</v>
          </cell>
          <cell r="S109">
            <v>47.016999999999996</v>
          </cell>
          <cell r="T109">
            <v>61526.222000000002</v>
          </cell>
          <cell r="U109">
            <v>62578.309000000001</v>
          </cell>
          <cell r="V109">
            <v>63945.779000000002</v>
          </cell>
          <cell r="W109">
            <v>65506.343000000001</v>
          </cell>
          <cell r="X109">
            <v>2.4750000000000001</v>
          </cell>
          <cell r="Y109">
            <v>1.6470000000000002</v>
          </cell>
          <cell r="Z109">
            <v>2.0309999999999997</v>
          </cell>
          <cell r="AA109">
            <v>1.2240000000000002</v>
          </cell>
          <cell r="AB109">
            <v>280.12700000000001</v>
          </cell>
          <cell r="AC109">
            <v>270</v>
          </cell>
          <cell r="AD109">
            <v>0.44400000000000001</v>
          </cell>
          <cell r="AE109">
            <v>0.42299999999999999</v>
          </cell>
          <cell r="AF109">
            <v>4.6192952831993246</v>
          </cell>
          <cell r="AG109">
            <v>4.5941072237401679</v>
          </cell>
          <cell r="AH109">
            <v>112197.62</v>
          </cell>
          <cell r="AI109">
            <v>108730.77900000001</v>
          </cell>
        </row>
        <row r="110">
          <cell r="A110" t="str">
            <v>Jordan</v>
          </cell>
          <cell r="B110">
            <v>400</v>
          </cell>
          <cell r="C110" t="str">
            <v>--</v>
          </cell>
          <cell r="D110" t="str">
            <v>--</v>
          </cell>
          <cell r="E110" t="str">
            <v>-</v>
          </cell>
          <cell r="F110" t="str">
            <v>-</v>
          </cell>
          <cell r="G110" t="str">
            <v>--</v>
          </cell>
          <cell r="H110" t="str">
            <v>--</v>
          </cell>
          <cell r="I110" t="str">
            <v>--</v>
          </cell>
          <cell r="J110" t="str">
            <v>Satisfactory</v>
          </cell>
          <cell r="K110" t="str">
            <v>Too high</v>
          </cell>
          <cell r="L110" t="str">
            <v>Lower</v>
          </cell>
          <cell r="M110" t="str">
            <v>Lower</v>
          </cell>
          <cell r="N110" t="str">
            <v>Satisfactory</v>
          </cell>
          <cell r="O110" t="str">
            <v>Too low</v>
          </cell>
          <cell r="P110" t="str">
            <v>No intervention</v>
          </cell>
          <cell r="Q110" t="str">
            <v>Raise</v>
          </cell>
          <cell r="R110">
            <v>2.452</v>
          </cell>
          <cell r="S110">
            <v>3.06</v>
          </cell>
          <cell r="T110">
            <v>2242.0030000000002</v>
          </cell>
          <cell r="U110">
            <v>2963.8420000000001</v>
          </cell>
          <cell r="V110">
            <v>2046.05</v>
          </cell>
          <cell r="W110">
            <v>2738.9340000000002</v>
          </cell>
          <cell r="X110">
            <v>29.537999999999997</v>
          </cell>
          <cell r="Y110">
            <v>27.39</v>
          </cell>
          <cell r="Z110">
            <v>28.025999999999996</v>
          </cell>
          <cell r="AA110">
            <v>23.643000000000001</v>
          </cell>
          <cell r="AB110">
            <v>35</v>
          </cell>
          <cell r="AC110">
            <v>100</v>
          </cell>
          <cell r="AD110">
            <v>1.512</v>
          </cell>
          <cell r="AE110">
            <v>3.7469999999999999</v>
          </cell>
          <cell r="AF110">
            <v>4.6331964554723344</v>
          </cell>
          <cell r="AG110">
            <v>13.474056378146699</v>
          </cell>
          <cell r="AH110">
            <v>10225.464</v>
          </cell>
          <cell r="AI110">
            <v>10225.464</v>
          </cell>
        </row>
        <row r="111">
          <cell r="A111" t="str">
            <v>Kazakhstan</v>
          </cell>
          <cell r="B111">
            <v>398</v>
          </cell>
          <cell r="C111">
            <v>1999</v>
          </cell>
          <cell r="D111">
            <v>1999</v>
          </cell>
          <cell r="E111" t="str">
            <v>-</v>
          </cell>
          <cell r="F111" t="str">
            <v>-</v>
          </cell>
          <cell r="G111" t="str">
            <v>--</v>
          </cell>
          <cell r="H111" t="str">
            <v>--</v>
          </cell>
          <cell r="I111" t="str">
            <v>--</v>
          </cell>
          <cell r="J111" t="str">
            <v>Satisfactory</v>
          </cell>
          <cell r="K111" t="str">
            <v>Satisfactory</v>
          </cell>
          <cell r="L111" t="str">
            <v>Maintain</v>
          </cell>
          <cell r="M111" t="str">
            <v>Maintain</v>
          </cell>
          <cell r="N111" t="str">
            <v>Too high</v>
          </cell>
          <cell r="O111" t="str">
            <v>Too high</v>
          </cell>
          <cell r="P111" t="str">
            <v>Lower</v>
          </cell>
          <cell r="Q111" t="str">
            <v>Lower</v>
          </cell>
          <cell r="R111">
            <v>767.93599999999992</v>
          </cell>
          <cell r="S111">
            <v>847.70600000000002</v>
          </cell>
          <cell r="T111">
            <v>7693.1930000000002</v>
          </cell>
          <cell r="U111">
            <v>7102.0069999999996</v>
          </cell>
          <cell r="V111">
            <v>8172.9409999999998</v>
          </cell>
          <cell r="W111">
            <v>7723.098</v>
          </cell>
          <cell r="X111">
            <v>-10.781000000000001</v>
          </cell>
          <cell r="Y111">
            <v>-2.7889999999999997</v>
          </cell>
          <cell r="Z111">
            <v>6.3119999999999994</v>
          </cell>
          <cell r="AA111">
            <v>5.2490000000000006</v>
          </cell>
          <cell r="AB111">
            <v>-1320.442</v>
          </cell>
          <cell r="AC111">
            <v>-600</v>
          </cell>
          <cell r="AD111">
            <v>-17.093</v>
          </cell>
          <cell r="AE111">
            <v>-8.0380000000000003</v>
          </cell>
          <cell r="AF111">
            <v>-101.33922541350984</v>
          </cell>
          <cell r="AG111">
            <v>-50.018131572695104</v>
          </cell>
          <cell r="AH111">
            <v>13085.768</v>
          </cell>
          <cell r="AI111">
            <v>16320.62</v>
          </cell>
        </row>
        <row r="112">
          <cell r="A112" t="str">
            <v>Kenya</v>
          </cell>
          <cell r="B112">
            <v>404</v>
          </cell>
          <cell r="C112">
            <v>1966</v>
          </cell>
          <cell r="D112">
            <v>1981</v>
          </cell>
          <cell r="E112">
            <v>1965</v>
          </cell>
          <cell r="F112">
            <v>1979</v>
          </cell>
          <cell r="G112" t="str">
            <v>--</v>
          </cell>
          <cell r="H112">
            <v>2005</v>
          </cell>
          <cell r="I112">
            <v>2005</v>
          </cell>
          <cell r="J112" t="str">
            <v>Satisfactory</v>
          </cell>
          <cell r="K112" t="str">
            <v>Satisfactory</v>
          </cell>
          <cell r="L112" t="str">
            <v>Maintain</v>
          </cell>
          <cell r="M112" t="str">
            <v>No intervention</v>
          </cell>
          <cell r="N112" t="str">
            <v>Satisfactory</v>
          </cell>
          <cell r="O112" t="str">
            <v>Satisfactory</v>
          </cell>
          <cell r="P112" t="str">
            <v>No intervention</v>
          </cell>
          <cell r="Q112" t="str">
            <v>No intervention</v>
          </cell>
          <cell r="R112">
            <v>5107.8019999999997</v>
          </cell>
          <cell r="S112">
            <v>5249.06</v>
          </cell>
          <cell r="T112">
            <v>13544.936</v>
          </cell>
          <cell r="U112">
            <v>17152.669999999998</v>
          </cell>
          <cell r="V112">
            <v>13680.955</v>
          </cell>
          <cell r="W112">
            <v>17103.052</v>
          </cell>
          <cell r="X112">
            <v>23.92</v>
          </cell>
          <cell r="Y112">
            <v>21.965</v>
          </cell>
          <cell r="Z112">
            <v>24.068000000000005</v>
          </cell>
          <cell r="AA112">
            <v>23.268000000000001</v>
          </cell>
          <cell r="AB112">
            <v>-21.385999999999999</v>
          </cell>
          <cell r="AC112">
            <v>-211.51900000000001</v>
          </cell>
          <cell r="AD112">
            <v>-0.14799999999999999</v>
          </cell>
          <cell r="AE112">
            <v>-1.3029999999999999</v>
          </cell>
          <cell r="AF112">
            <v>-0.39440609479688626</v>
          </cell>
          <cell r="AG112">
            <v>-3.3603039030514696</v>
          </cell>
          <cell r="AH112">
            <v>83073.324999999997</v>
          </cell>
          <cell r="AI112">
            <v>83260.717999999993</v>
          </cell>
        </row>
        <row r="113">
          <cell r="A113" t="str">
            <v>Kiribati</v>
          </cell>
          <cell r="B113">
            <v>296</v>
          </cell>
          <cell r="C113" t="str">
            <v>--</v>
          </cell>
          <cell r="D113" t="str">
            <v>--</v>
          </cell>
          <cell r="E113" t="str">
            <v>-</v>
          </cell>
          <cell r="F113" t="str">
            <v>-</v>
          </cell>
          <cell r="G113" t="str">
            <v>--</v>
          </cell>
          <cell r="H113">
            <v>2005</v>
          </cell>
          <cell r="I113">
            <v>2005</v>
          </cell>
          <cell r="J113" t="str">
            <v>Satisfactory</v>
          </cell>
          <cell r="K113" t="str">
            <v>Satisfactory</v>
          </cell>
          <cell r="L113" t="str">
            <v>Maintain</v>
          </cell>
          <cell r="M113" t="str">
            <v>Maintain</v>
          </cell>
          <cell r="N113" t="str">
            <v>Satisfactory</v>
          </cell>
          <cell r="O113" t="str">
            <v>Satisfactory</v>
          </cell>
          <cell r="P113" t="str">
            <v>Maintain</v>
          </cell>
          <cell r="Q113" t="str">
            <v>Maintain</v>
          </cell>
          <cell r="R113">
            <v>58202.656000000003</v>
          </cell>
          <cell r="S113">
            <v>60495.536999999997</v>
          </cell>
          <cell r="T113">
            <v>39.466999999999999</v>
          </cell>
          <cell r="U113">
            <v>48.805</v>
          </cell>
          <cell r="V113">
            <v>40.904000000000003</v>
          </cell>
          <cell r="W113">
            <v>50.545000000000002</v>
          </cell>
          <cell r="X113">
            <v>21.803000000000001</v>
          </cell>
          <cell r="Y113">
            <v>20.555</v>
          </cell>
          <cell r="Z113">
            <v>24.156000000000002</v>
          </cell>
          <cell r="AA113">
            <v>22.672000000000001</v>
          </cell>
          <cell r="AB113">
            <v>-1</v>
          </cell>
          <cell r="AC113">
            <v>-1</v>
          </cell>
          <cell r="AD113">
            <v>-2.3530000000000002</v>
          </cell>
          <cell r="AE113">
            <v>-2.117</v>
          </cell>
          <cell r="AF113">
            <v>-7.3730000737300001</v>
          </cell>
          <cell r="AG113">
            <v>-7.1169311792754959</v>
          </cell>
          <cell r="AH113">
            <v>177.43600000000001</v>
          </cell>
          <cell r="AI113">
            <v>189.226</v>
          </cell>
        </row>
        <row r="114">
          <cell r="A114" t="str">
            <v>Kuwait</v>
          </cell>
          <cell r="B114">
            <v>414</v>
          </cell>
          <cell r="C114" t="str">
            <v>--</v>
          </cell>
          <cell r="D114" t="str">
            <v>--</v>
          </cell>
          <cell r="E114" t="str">
            <v>-</v>
          </cell>
          <cell r="F114" t="str">
            <v>-</v>
          </cell>
          <cell r="G114" t="str">
            <v>--</v>
          </cell>
          <cell r="H114" t="str">
            <v>--</v>
          </cell>
          <cell r="I114" t="str">
            <v>--</v>
          </cell>
          <cell r="J114" t="str">
            <v>Satisfactory</v>
          </cell>
          <cell r="K114" t="str">
            <v>Too high</v>
          </cell>
          <cell r="L114" t="str">
            <v>Lower</v>
          </cell>
          <cell r="M114" t="str">
            <v>Lower</v>
          </cell>
          <cell r="N114" t="str">
            <v>Satisfactory</v>
          </cell>
          <cell r="O114" t="str">
            <v>Too low</v>
          </cell>
          <cell r="P114" t="str">
            <v>No intervention</v>
          </cell>
          <cell r="Q114" t="str">
            <v>No intervention</v>
          </cell>
          <cell r="R114">
            <v>138.54499999999999</v>
          </cell>
          <cell r="S114">
            <v>187.05599999999998</v>
          </cell>
          <cell r="T114">
            <v>1019.131</v>
          </cell>
          <cell r="U114">
            <v>1612.193</v>
          </cell>
          <cell r="V114">
            <v>676.53</v>
          </cell>
          <cell r="W114">
            <v>1074.68</v>
          </cell>
          <cell r="X114">
            <v>54.418999999999997</v>
          </cell>
          <cell r="Y114">
            <v>37.195</v>
          </cell>
          <cell r="Z114">
            <v>19.058999999999997</v>
          </cell>
          <cell r="AA114">
            <v>17.669</v>
          </cell>
          <cell r="AB114">
            <v>347</v>
          </cell>
          <cell r="AC114">
            <v>240</v>
          </cell>
          <cell r="AD114">
            <v>35.36</v>
          </cell>
          <cell r="AE114">
            <v>19.526</v>
          </cell>
          <cell r="AF114">
            <v>169.20968835183911</v>
          </cell>
          <cell r="AG114">
            <v>100.2979685482287</v>
          </cell>
          <cell r="AH114">
            <v>5279.2250000000004</v>
          </cell>
          <cell r="AI114">
            <v>3674.1680000000001</v>
          </cell>
        </row>
        <row r="115">
          <cell r="A115" t="str">
            <v>Kyrgyzstan</v>
          </cell>
          <cell r="B115">
            <v>417</v>
          </cell>
          <cell r="C115">
            <v>1996</v>
          </cell>
          <cell r="D115">
            <v>1996</v>
          </cell>
          <cell r="E115" t="str">
            <v>-</v>
          </cell>
          <cell r="F115" t="str">
            <v>-</v>
          </cell>
          <cell r="G115">
            <v>2003</v>
          </cell>
          <cell r="H115">
            <v>2003</v>
          </cell>
          <cell r="I115">
            <v>2003</v>
          </cell>
          <cell r="J115" t="str">
            <v>Satisfactory</v>
          </cell>
          <cell r="K115" t="str">
            <v>Satisfactory</v>
          </cell>
          <cell r="L115" t="str">
            <v>No intervention</v>
          </cell>
          <cell r="M115" t="str">
            <v>Maintain</v>
          </cell>
          <cell r="N115" t="str">
            <v>Too high</v>
          </cell>
          <cell r="O115" t="str">
            <v>Satisfactory</v>
          </cell>
          <cell r="P115" t="str">
            <v>Lower</v>
          </cell>
          <cell r="Q115" t="str">
            <v>Maintain</v>
          </cell>
          <cell r="R115">
            <v>215.79599999999999</v>
          </cell>
          <cell r="S115">
            <v>256.60300000000001</v>
          </cell>
          <cell r="T115">
            <v>2256.607</v>
          </cell>
          <cell r="U115">
            <v>2592.2950000000001</v>
          </cell>
          <cell r="V115">
            <v>2331.2779999999998</v>
          </cell>
          <cell r="W115">
            <v>2671.4989999999998</v>
          </cell>
          <cell r="X115">
            <v>15.267999999999999</v>
          </cell>
          <cell r="Y115">
            <v>12.206999999999999</v>
          </cell>
          <cell r="Z115">
            <v>16.399999999999999</v>
          </cell>
          <cell r="AA115">
            <v>15.143999999999998</v>
          </cell>
          <cell r="AB115">
            <v>-27</v>
          </cell>
          <cell r="AC115">
            <v>-75</v>
          </cell>
          <cell r="AD115">
            <v>-1.1319999999999999</v>
          </cell>
          <cell r="AE115">
            <v>-2.9369999999999998</v>
          </cell>
          <cell r="AF115">
            <v>-4.6862145453156945</v>
          </cell>
          <cell r="AG115">
            <v>-12.987215385174833</v>
          </cell>
          <cell r="AH115">
            <v>6663.7829999999994</v>
          </cell>
          <cell r="AI115">
            <v>7536.3090000000002</v>
          </cell>
        </row>
        <row r="116">
          <cell r="A116" t="str">
            <v>Lao People's Democratic Republic</v>
          </cell>
          <cell r="B116">
            <v>418</v>
          </cell>
          <cell r="C116" t="str">
            <v>--</v>
          </cell>
          <cell r="D116" t="str">
            <v>--</v>
          </cell>
          <cell r="E116" t="str">
            <v>-</v>
          </cell>
          <cell r="F116" t="str">
            <v>-</v>
          </cell>
          <cell r="G116" t="str">
            <v>--</v>
          </cell>
          <cell r="H116">
            <v>2003</v>
          </cell>
          <cell r="I116">
            <v>2003</v>
          </cell>
          <cell r="J116" t="str">
            <v>Satisfactory</v>
          </cell>
          <cell r="K116" t="str">
            <v>Satisfactory</v>
          </cell>
          <cell r="L116" t="str">
            <v>Maintain</v>
          </cell>
          <cell r="M116" t="str">
            <v>Maintain</v>
          </cell>
          <cell r="N116" t="str">
            <v>Too high</v>
          </cell>
          <cell r="O116" t="str">
            <v>Too high</v>
          </cell>
          <cell r="P116" t="str">
            <v>Lower</v>
          </cell>
          <cell r="Q116" t="str">
            <v>No intervention</v>
          </cell>
          <cell r="R116">
            <v>1118.7359999999999</v>
          </cell>
          <cell r="S116">
            <v>1383.8409999999999</v>
          </cell>
          <cell r="T116">
            <v>2334.4899999999998</v>
          </cell>
          <cell r="U116">
            <v>2963.9569999999999</v>
          </cell>
          <cell r="V116">
            <v>2351.482</v>
          </cell>
          <cell r="W116">
            <v>2960.1880000000001</v>
          </cell>
          <cell r="X116">
            <v>23.786999999999999</v>
          </cell>
          <cell r="Y116">
            <v>23.050999999999998</v>
          </cell>
          <cell r="Z116">
            <v>24.055</v>
          </cell>
          <cell r="AA116">
            <v>23.29</v>
          </cell>
          <cell r="AB116">
            <v>-6.6669999999999998</v>
          </cell>
          <cell r="AC116">
            <v>-6.7</v>
          </cell>
          <cell r="AD116">
            <v>-0.26800000000000002</v>
          </cell>
          <cell r="AE116">
            <v>-0.23899999999999999</v>
          </cell>
          <cell r="AF116">
            <v>-0.70144096827681413</v>
          </cell>
          <cell r="AG116">
            <v>-0.66679737222122148</v>
          </cell>
          <cell r="AH116">
            <v>11586.184000000001</v>
          </cell>
          <cell r="AI116">
            <v>11670.761999999999</v>
          </cell>
        </row>
        <row r="117">
          <cell r="A117" t="str">
            <v>Latvia</v>
          </cell>
          <cell r="B117">
            <v>428</v>
          </cell>
          <cell r="C117">
            <v>1997</v>
          </cell>
          <cell r="D117">
            <v>1997</v>
          </cell>
          <cell r="E117" t="str">
            <v>-</v>
          </cell>
          <cell r="F117" t="str">
            <v>-</v>
          </cell>
          <cell r="G117" t="str">
            <v>--</v>
          </cell>
          <cell r="H117">
            <v>2004</v>
          </cell>
          <cell r="I117">
            <v>2003</v>
          </cell>
          <cell r="J117" t="str">
            <v>Too high</v>
          </cell>
          <cell r="K117" t="str">
            <v>Satisfactory</v>
          </cell>
          <cell r="L117" t="str">
            <v>Lower</v>
          </cell>
          <cell r="M117" t="str">
            <v>Maintain</v>
          </cell>
          <cell r="N117" t="str">
            <v>Too low</v>
          </cell>
          <cell r="O117" t="str">
            <v>Satisfactory</v>
          </cell>
          <cell r="P117" t="str">
            <v>Raise</v>
          </cell>
          <cell r="Q117" t="str">
            <v>No intervention</v>
          </cell>
          <cell r="R117">
            <v>1115.2159999999999</v>
          </cell>
          <cell r="S117">
            <v>1517.079</v>
          </cell>
          <cell r="T117">
            <v>1150.769</v>
          </cell>
          <cell r="U117">
            <v>1055.212</v>
          </cell>
          <cell r="V117">
            <v>1346.962</v>
          </cell>
          <cell r="W117">
            <v>1251.7760000000001</v>
          </cell>
          <cell r="X117">
            <v>-10.231</v>
          </cell>
          <cell r="Y117">
            <v>-5.6539999999999999</v>
          </cell>
          <cell r="Z117">
            <v>-5.6379999999999999</v>
          </cell>
          <cell r="AA117">
            <v>-4.6280000000000001</v>
          </cell>
          <cell r="AB117">
            <v>-55.93</v>
          </cell>
          <cell r="AC117">
            <v>-12</v>
          </cell>
          <cell r="AD117">
            <v>-4.593</v>
          </cell>
          <cell r="AE117">
            <v>-1.026</v>
          </cell>
          <cell r="AF117">
            <v>-57.697267297316813</v>
          </cell>
          <cell r="AG117">
            <v>-11.664981724861963</v>
          </cell>
          <cell r="AH117">
            <v>1677.6610000000001</v>
          </cell>
          <cell r="AI117">
            <v>1797.1489999999999</v>
          </cell>
        </row>
        <row r="118">
          <cell r="A118" t="str">
            <v>Lebanon</v>
          </cell>
          <cell r="B118">
            <v>422</v>
          </cell>
          <cell r="C118" t="str">
            <v>--</v>
          </cell>
          <cell r="D118" t="str">
            <v>--</v>
          </cell>
          <cell r="E118" t="str">
            <v>-</v>
          </cell>
          <cell r="F118" t="str">
            <v>-</v>
          </cell>
          <cell r="G118" t="str">
            <v>--</v>
          </cell>
          <cell r="H118">
            <v>2005</v>
          </cell>
          <cell r="I118">
            <v>2005</v>
          </cell>
          <cell r="J118" t="str">
            <v>Too high</v>
          </cell>
          <cell r="K118" t="str">
            <v>Too high</v>
          </cell>
          <cell r="L118" t="str">
            <v>Lower</v>
          </cell>
          <cell r="M118" t="str">
            <v>Lower</v>
          </cell>
          <cell r="N118" t="str">
            <v>Too high</v>
          </cell>
          <cell r="O118" t="str">
            <v>Too high</v>
          </cell>
          <cell r="P118" t="str">
            <v>Lower</v>
          </cell>
          <cell r="Q118" t="str">
            <v>Lower</v>
          </cell>
          <cell r="R118">
            <v>81660.964999999997</v>
          </cell>
          <cell r="S118">
            <v>82689.210000000006</v>
          </cell>
          <cell r="T118">
            <v>1556.643</v>
          </cell>
          <cell r="U118">
            <v>1753.0170000000001</v>
          </cell>
          <cell r="V118">
            <v>1620.136</v>
          </cell>
          <cell r="W118">
            <v>1823.8009999999999</v>
          </cell>
          <cell r="X118">
            <v>13.451000000000001</v>
          </cell>
          <cell r="Y118">
            <v>10.263</v>
          </cell>
          <cell r="Z118">
            <v>15.276</v>
          </cell>
          <cell r="AA118">
            <v>12.27</v>
          </cell>
          <cell r="AB118">
            <v>-30</v>
          </cell>
          <cell r="AC118">
            <v>-35</v>
          </cell>
          <cell r="AD118">
            <v>-1.825</v>
          </cell>
          <cell r="AE118">
            <v>-2.0070000000000001</v>
          </cell>
          <cell r="AF118">
            <v>-8.1980204513283521</v>
          </cell>
          <cell r="AG118">
            <v>-10.570026425066063</v>
          </cell>
          <cell r="AH118">
            <v>4701.8209999999999</v>
          </cell>
          <cell r="AI118">
            <v>4920.0689999999995</v>
          </cell>
        </row>
        <row r="119">
          <cell r="A119" t="str">
            <v>Lesotho</v>
          </cell>
          <cell r="B119">
            <v>426</v>
          </cell>
          <cell r="C119">
            <v>1981</v>
          </cell>
          <cell r="D119">
            <v>1981</v>
          </cell>
          <cell r="E119" t="str">
            <v>-</v>
          </cell>
          <cell r="F119" t="str">
            <v>-</v>
          </cell>
          <cell r="G119">
            <v>2005</v>
          </cell>
          <cell r="H119">
            <v>2003</v>
          </cell>
          <cell r="I119">
            <v>2004</v>
          </cell>
          <cell r="J119" t="str">
            <v>Satisfactory</v>
          </cell>
          <cell r="K119" t="str">
            <v>Satisfactory</v>
          </cell>
          <cell r="L119" t="str">
            <v>No intervention</v>
          </cell>
          <cell r="M119" t="str">
            <v>No intervention</v>
          </cell>
          <cell r="N119" t="str">
            <v>Satisfactory</v>
          </cell>
          <cell r="O119" t="str">
            <v>Satisfactory</v>
          </cell>
          <cell r="P119" t="str">
            <v>No intervention</v>
          </cell>
          <cell r="Q119" t="str">
            <v>No intervention</v>
          </cell>
          <cell r="R119">
            <v>17725.205000000002</v>
          </cell>
          <cell r="S119">
            <v>22112.805</v>
          </cell>
          <cell r="T119">
            <v>788.18399999999997</v>
          </cell>
          <cell r="U119">
            <v>835.14599999999996</v>
          </cell>
          <cell r="V119">
            <v>904.08500000000004</v>
          </cell>
          <cell r="W119">
            <v>959.62300000000005</v>
          </cell>
          <cell r="X119">
            <v>10.947000000000001</v>
          </cell>
          <cell r="Y119">
            <v>0.8110000000000035</v>
          </cell>
          <cell r="Z119">
            <v>15.085000000000001</v>
          </cell>
          <cell r="AA119">
            <v>4.8310000000000031</v>
          </cell>
          <cell r="AB119">
            <v>-36</v>
          </cell>
          <cell r="AC119">
            <v>-36</v>
          </cell>
          <cell r="AD119">
            <v>-4.1379999999999999</v>
          </cell>
          <cell r="AE119">
            <v>-4.0199999999999996</v>
          </cell>
          <cell r="AF119">
            <v>-13.712457386634162</v>
          </cell>
          <cell r="AG119">
            <v>-14.117038088553043</v>
          </cell>
          <cell r="AH119">
            <v>1600.9</v>
          </cell>
          <cell r="AI119">
            <v>1906.5909999999999</v>
          </cell>
        </row>
        <row r="120">
          <cell r="A120" t="str">
            <v>Liberia</v>
          </cell>
          <cell r="B120">
            <v>430</v>
          </cell>
          <cell r="C120">
            <v>1964</v>
          </cell>
          <cell r="D120">
            <v>1980</v>
          </cell>
          <cell r="E120" t="str">
            <v>-</v>
          </cell>
          <cell r="F120" t="str">
            <v>-</v>
          </cell>
          <cell r="G120" t="str">
            <v>--</v>
          </cell>
          <cell r="H120">
            <v>2004</v>
          </cell>
          <cell r="I120">
            <v>2004</v>
          </cell>
          <cell r="J120" t="str">
            <v>Satisfactory</v>
          </cell>
          <cell r="K120" t="str">
            <v>Satisfactory</v>
          </cell>
          <cell r="L120" t="str">
            <v>Maintain</v>
          </cell>
          <cell r="M120" t="str">
            <v>Maintain</v>
          </cell>
          <cell r="N120" t="str">
            <v>Too high</v>
          </cell>
          <cell r="O120" t="str">
            <v>Satisfactory</v>
          </cell>
          <cell r="P120" t="str">
            <v>No intervention</v>
          </cell>
          <cell r="Q120" t="str">
            <v>No intervention</v>
          </cell>
          <cell r="R120">
            <v>27.305999999999997</v>
          </cell>
          <cell r="S120">
            <v>27.920999999999999</v>
          </cell>
          <cell r="T120">
            <v>1068.1089999999999</v>
          </cell>
          <cell r="U120">
            <v>1638.173</v>
          </cell>
          <cell r="V120">
            <v>1073.3520000000001</v>
          </cell>
          <cell r="W120">
            <v>1645.0940000000001</v>
          </cell>
          <cell r="X120">
            <v>70.980999999999995</v>
          </cell>
          <cell r="Y120">
            <v>13.723999999999998</v>
          </cell>
          <cell r="Z120">
            <v>28.336999999999996</v>
          </cell>
          <cell r="AA120">
            <v>29.131999999999998</v>
          </cell>
          <cell r="AB120">
            <v>555.11400000000003</v>
          </cell>
          <cell r="AC120">
            <v>-244.548</v>
          </cell>
          <cell r="AD120">
            <v>42.643999999999998</v>
          </cell>
          <cell r="AE120">
            <v>-15.407999999999999</v>
          </cell>
          <cell r="AF120">
            <v>85.836751923972002</v>
          </cell>
          <cell r="AG120">
            <v>-30.943613960232923</v>
          </cell>
          <cell r="AH120">
            <v>10652.879000000001</v>
          </cell>
          <cell r="AI120">
            <v>10652.879000000001</v>
          </cell>
        </row>
        <row r="121">
          <cell r="A121" t="str">
            <v>Libyan Arab Jamahiriya</v>
          </cell>
          <cell r="B121">
            <v>434</v>
          </cell>
          <cell r="C121" t="str">
            <v>--</v>
          </cell>
          <cell r="D121" t="str">
            <v>--</v>
          </cell>
          <cell r="E121" t="str">
            <v>-</v>
          </cell>
          <cell r="F121" t="str">
            <v>-</v>
          </cell>
          <cell r="G121">
            <v>2004</v>
          </cell>
          <cell r="H121">
            <v>2004</v>
          </cell>
          <cell r="I121">
            <v>2004</v>
          </cell>
          <cell r="J121" t="str">
            <v>Too high</v>
          </cell>
          <cell r="K121" t="str">
            <v>Satisfactory</v>
          </cell>
          <cell r="L121" t="str">
            <v>Lower</v>
          </cell>
          <cell r="M121" t="str">
            <v>Maintain</v>
          </cell>
          <cell r="N121" t="str">
            <v>Satisfactory</v>
          </cell>
          <cell r="O121" t="str">
            <v>Satisfactory</v>
          </cell>
          <cell r="P121" t="str">
            <v>Maintain</v>
          </cell>
          <cell r="Q121" t="str">
            <v>Maintain</v>
          </cell>
          <cell r="R121">
            <v>10657.419</v>
          </cell>
          <cell r="S121">
            <v>11119.891</v>
          </cell>
          <cell r="T121">
            <v>2502.7040000000002</v>
          </cell>
          <cell r="U121">
            <v>3019.7069999999999</v>
          </cell>
          <cell r="V121">
            <v>2304.9059999999999</v>
          </cell>
          <cell r="W121">
            <v>2833.7449999999999</v>
          </cell>
          <cell r="X121">
            <v>19.72</v>
          </cell>
          <cell r="Y121">
            <v>19.613</v>
          </cell>
          <cell r="Z121">
            <v>19.324999999999999</v>
          </cell>
          <cell r="AA121">
            <v>19.254999999999999</v>
          </cell>
          <cell r="AB121">
            <v>10</v>
          </cell>
          <cell r="AC121">
            <v>10</v>
          </cell>
          <cell r="AD121">
            <v>0.39500000000000002</v>
          </cell>
          <cell r="AE121">
            <v>0.35799999999999998</v>
          </cell>
          <cell r="AF121">
            <v>1.699284431325969</v>
          </cell>
          <cell r="AG121">
            <v>1.5412523908677713</v>
          </cell>
          <cell r="AH121">
            <v>9552.8310000000001</v>
          </cell>
          <cell r="AI121">
            <v>9428.5889999999999</v>
          </cell>
        </row>
        <row r="122">
          <cell r="A122" t="str">
            <v>Liechtenstein</v>
          </cell>
          <cell r="B122">
            <v>438</v>
          </cell>
          <cell r="C122">
            <v>1957</v>
          </cell>
          <cell r="D122">
            <v>1968</v>
          </cell>
          <cell r="E122" t="str">
            <v>-</v>
          </cell>
          <cell r="F122" t="str">
            <v>-</v>
          </cell>
          <cell r="G122" t="str">
            <v>--</v>
          </cell>
          <cell r="H122" t="str">
            <v>--</v>
          </cell>
          <cell r="I122" t="str">
            <v>--</v>
          </cell>
          <cell r="J122" t="str">
            <v>Satisfactory</v>
          </cell>
          <cell r="K122" t="str">
            <v>Satisfactory</v>
          </cell>
          <cell r="L122" t="str">
            <v>Lower</v>
          </cell>
          <cell r="M122" t="str">
            <v>Maintain</v>
          </cell>
          <cell r="N122" t="str">
            <v>Satisfactory</v>
          </cell>
          <cell r="O122" t="str">
            <v>Satisfactory</v>
          </cell>
          <cell r="P122" t="str">
            <v>No intervention</v>
          </cell>
          <cell r="Q122" t="str">
            <v>No intervention</v>
          </cell>
          <cell r="R122">
            <v>55.767000000000003</v>
          </cell>
          <cell r="S122">
            <v>56.918999999999997</v>
          </cell>
          <cell r="T122">
            <v>15.255000000000001</v>
          </cell>
          <cell r="U122">
            <v>16.829000000000001</v>
          </cell>
          <cell r="V122">
            <v>15.696</v>
          </cell>
          <cell r="W122">
            <v>17.692</v>
          </cell>
          <cell r="X122">
            <v>11.984999999999999</v>
          </cell>
          <cell r="Y122">
            <v>9.8420000000000005</v>
          </cell>
          <cell r="Z122">
            <v>4.99</v>
          </cell>
          <cell r="AA122">
            <v>3.9060000000000006</v>
          </cell>
          <cell r="AB122">
            <v>1.1160000000000001</v>
          </cell>
          <cell r="AC122">
            <v>1</v>
          </cell>
          <cell r="AD122">
            <v>6.9950000000000001</v>
          </cell>
          <cell r="AE122">
            <v>5.9359999999999999</v>
          </cell>
          <cell r="AF122">
            <v>58.064516129032263</v>
          </cell>
          <cell r="AG122">
            <v>54.141851651326476</v>
          </cell>
          <cell r="AH122">
            <v>44.280999999999999</v>
          </cell>
          <cell r="AI122">
            <v>32.052999999999997</v>
          </cell>
        </row>
        <row r="123">
          <cell r="A123" t="str">
            <v>Lithuania</v>
          </cell>
          <cell r="B123">
            <v>440</v>
          </cell>
          <cell r="C123">
            <v>1997</v>
          </cell>
          <cell r="D123">
            <v>1997</v>
          </cell>
          <cell r="E123" t="str">
            <v>-</v>
          </cell>
          <cell r="F123" t="str">
            <v>-</v>
          </cell>
          <cell r="G123" t="str">
            <v>--</v>
          </cell>
          <cell r="H123">
            <v>2003</v>
          </cell>
          <cell r="I123">
            <v>2003</v>
          </cell>
          <cell r="J123" t="str">
            <v>Satisfactory</v>
          </cell>
          <cell r="K123" t="str">
            <v>Satisfactory</v>
          </cell>
          <cell r="L123" t="str">
            <v>Lower</v>
          </cell>
          <cell r="M123" t="str">
            <v>Maintain</v>
          </cell>
          <cell r="N123" t="str">
            <v>Satisfactory</v>
          </cell>
          <cell r="O123" t="str">
            <v>Satisfactory</v>
          </cell>
          <cell r="P123" t="str">
            <v>Maintain</v>
          </cell>
          <cell r="Q123" t="str">
            <v>No intervention</v>
          </cell>
          <cell r="R123">
            <v>99.436000000000007</v>
          </cell>
          <cell r="S123">
            <v>102.92400000000001</v>
          </cell>
          <cell r="T123">
            <v>1709.172</v>
          </cell>
          <cell r="U123">
            <v>1600.1790000000001</v>
          </cell>
          <cell r="V123">
            <v>1919.002</v>
          </cell>
          <cell r="W123">
            <v>1830.854</v>
          </cell>
          <cell r="X123">
            <v>-7.2180000000000017</v>
          </cell>
          <cell r="Y123">
            <v>-3.9550000000000001</v>
          </cell>
          <cell r="Z123">
            <v>-1.1160000000000014</v>
          </cell>
          <cell r="AA123">
            <v>-2.8010000000000002</v>
          </cell>
          <cell r="AB123">
            <v>-108.73699999999999</v>
          </cell>
          <cell r="AC123">
            <v>-20</v>
          </cell>
          <cell r="AD123">
            <v>-6.1020000000000003</v>
          </cell>
          <cell r="AE123">
            <v>-1.1539999999999999</v>
          </cell>
          <cell r="AF123">
            <v>-57.543764949937547</v>
          </cell>
          <cell r="AG123">
            <v>-12.771147423740285</v>
          </cell>
          <cell r="AH123">
            <v>2564.5889999999999</v>
          </cell>
          <cell r="AI123">
            <v>2802.433</v>
          </cell>
        </row>
        <row r="124">
          <cell r="A124" t="str">
            <v>Luxembourg</v>
          </cell>
          <cell r="B124">
            <v>442</v>
          </cell>
          <cell r="C124">
            <v>1953</v>
          </cell>
          <cell r="D124">
            <v>1971</v>
          </cell>
          <cell r="E124" t="str">
            <v>-</v>
          </cell>
          <cell r="F124" t="str">
            <v>-</v>
          </cell>
          <cell r="G124" t="str">
            <v>--</v>
          </cell>
          <cell r="H124" t="str">
            <v>--</v>
          </cell>
          <cell r="I124" t="str">
            <v>--</v>
          </cell>
          <cell r="J124" t="str">
            <v>Too high</v>
          </cell>
          <cell r="K124" t="str">
            <v>Satisfactory</v>
          </cell>
          <cell r="L124" t="str">
            <v>Lower</v>
          </cell>
          <cell r="M124" t="str">
            <v>Maintain</v>
          </cell>
          <cell r="N124" t="str">
            <v>Satisfactory</v>
          </cell>
          <cell r="O124" t="str">
            <v>Satisfactory</v>
          </cell>
          <cell r="P124" t="str">
            <v>No intervention</v>
          </cell>
          <cell r="Q124" t="str">
            <v>No intervention</v>
          </cell>
          <cell r="R124">
            <v>409.48500000000001</v>
          </cell>
          <cell r="S124">
            <v>448.48400000000004</v>
          </cell>
          <cell r="T124">
            <v>199.703</v>
          </cell>
          <cell r="U124">
            <v>229.07400000000001</v>
          </cell>
          <cell r="V124">
            <v>205.375</v>
          </cell>
          <cell r="W124">
            <v>235.83</v>
          </cell>
          <cell r="X124">
            <v>14.35</v>
          </cell>
          <cell r="Y124">
            <v>13.189</v>
          </cell>
          <cell r="Z124">
            <v>5.0360000000000014</v>
          </cell>
          <cell r="AA124">
            <v>4.4939999999999998</v>
          </cell>
          <cell r="AB124">
            <v>19.567</v>
          </cell>
          <cell r="AC124">
            <v>19.567</v>
          </cell>
          <cell r="AD124">
            <v>9.3140000000000001</v>
          </cell>
          <cell r="AE124">
            <v>8.6950000000000003</v>
          </cell>
          <cell r="AF124">
            <v>70.62624075076701</v>
          </cell>
          <cell r="AG124">
            <v>68.764716218590763</v>
          </cell>
          <cell r="AH124">
            <v>721.41499999999996</v>
          </cell>
          <cell r="AI124">
            <v>453.09500000000003</v>
          </cell>
        </row>
        <row r="125">
          <cell r="A125" t="str">
            <v>Madagascar</v>
          </cell>
          <cell r="B125">
            <v>450</v>
          </cell>
          <cell r="C125">
            <v>1967</v>
          </cell>
          <cell r="D125" t="str">
            <v>--</v>
          </cell>
          <cell r="E125">
            <v>2001</v>
          </cell>
          <cell r="F125" t="str">
            <v>-</v>
          </cell>
          <cell r="G125" t="str">
            <v>--</v>
          </cell>
          <cell r="H125">
            <v>2005</v>
          </cell>
          <cell r="I125">
            <v>2005</v>
          </cell>
          <cell r="J125" t="str">
            <v>Satisfactory</v>
          </cell>
          <cell r="K125" t="str">
            <v>Satisfactory</v>
          </cell>
          <cell r="L125" t="str">
            <v>No intervention</v>
          </cell>
          <cell r="M125" t="str">
            <v>No intervention</v>
          </cell>
          <cell r="N125" t="str">
            <v>Satisfactory</v>
          </cell>
          <cell r="O125" t="str">
            <v>Satisfactory</v>
          </cell>
          <cell r="P125" t="str">
            <v>No intervention</v>
          </cell>
          <cell r="Q125" t="str">
            <v>No intervention</v>
          </cell>
          <cell r="R125">
            <v>145.57300000000001</v>
          </cell>
          <cell r="S125">
            <v>169.63499999999999</v>
          </cell>
          <cell r="T125">
            <v>6935.0190000000002</v>
          </cell>
          <cell r="U125">
            <v>9254.9950000000008</v>
          </cell>
          <cell r="V125">
            <v>7010.482</v>
          </cell>
          <cell r="W125">
            <v>9350.9259999999995</v>
          </cell>
          <cell r="X125">
            <v>29.854000000000006</v>
          </cell>
          <cell r="Y125">
            <v>27.71</v>
          </cell>
          <cell r="Z125">
            <v>29.894000000000005</v>
          </cell>
          <cell r="AA125">
            <v>27.71</v>
          </cell>
          <cell r="AB125">
            <v>-3</v>
          </cell>
          <cell r="AC125">
            <v>0</v>
          </cell>
          <cell r="AD125">
            <v>-0.04</v>
          </cell>
          <cell r="AE125">
            <v>0</v>
          </cell>
          <cell r="AF125">
            <v>-9.2677174816645932E-2</v>
          </cell>
          <cell r="AG125">
            <v>0</v>
          </cell>
          <cell r="AH125">
            <v>43508.377</v>
          </cell>
          <cell r="AI125">
            <v>43508.377</v>
          </cell>
        </row>
        <row r="126">
          <cell r="A126" t="str">
            <v>Malawi</v>
          </cell>
          <cell r="B126">
            <v>454</v>
          </cell>
          <cell r="C126">
            <v>1987</v>
          </cell>
          <cell r="D126">
            <v>1987</v>
          </cell>
          <cell r="E126">
            <v>1965</v>
          </cell>
          <cell r="F126" t="str">
            <v>-</v>
          </cell>
          <cell r="G126" t="str">
            <v>--</v>
          </cell>
          <cell r="H126">
            <v>2005</v>
          </cell>
          <cell r="I126">
            <v>2005</v>
          </cell>
          <cell r="J126" t="str">
            <v>Too high</v>
          </cell>
          <cell r="K126" t="str">
            <v>Satisfactory</v>
          </cell>
          <cell r="L126" t="str">
            <v>Lower</v>
          </cell>
          <cell r="M126" t="str">
            <v>Lower</v>
          </cell>
          <cell r="N126" t="str">
            <v>Satisfactory</v>
          </cell>
          <cell r="O126" t="str">
            <v>Satisfactory</v>
          </cell>
          <cell r="P126" t="str">
            <v>No intervention</v>
          </cell>
          <cell r="Q126" t="str">
            <v>No intervention</v>
          </cell>
          <cell r="R126">
            <v>9970.3669999999984</v>
          </cell>
          <cell r="S126">
            <v>12599.059000000001</v>
          </cell>
          <cell r="T126">
            <v>4980.527</v>
          </cell>
          <cell r="U126">
            <v>6397.1970000000001</v>
          </cell>
          <cell r="V126">
            <v>5129.9889999999996</v>
          </cell>
          <cell r="W126">
            <v>6486.7380000000003</v>
          </cell>
          <cell r="X126">
            <v>25.933999999999997</v>
          </cell>
          <cell r="Y126">
            <v>22.487000000000002</v>
          </cell>
          <cell r="Z126">
            <v>26.858999999999998</v>
          </cell>
          <cell r="AA126">
            <v>22.815000000000001</v>
          </cell>
          <cell r="AB126">
            <v>-50</v>
          </cell>
          <cell r="AC126">
            <v>-20</v>
          </cell>
          <cell r="AD126">
            <v>-0.92500000000000004</v>
          </cell>
          <cell r="AE126">
            <v>-0.32800000000000001</v>
          </cell>
          <cell r="AF126">
            <v>-1.9227692799921241</v>
          </cell>
          <cell r="AG126">
            <v>-0.73544607378436277</v>
          </cell>
          <cell r="AH126">
            <v>29451.609</v>
          </cell>
          <cell r="AI126">
            <v>29681.004000000001</v>
          </cell>
        </row>
        <row r="127">
          <cell r="A127" t="str">
            <v>Malaysia</v>
          </cell>
          <cell r="B127">
            <v>458</v>
          </cell>
          <cell r="C127" t="str">
            <v>--</v>
          </cell>
          <cell r="D127" t="str">
            <v>--</v>
          </cell>
          <cell r="E127">
            <v>1964</v>
          </cell>
          <cell r="F127" t="str">
            <v>-</v>
          </cell>
          <cell r="G127" t="str">
            <v>--</v>
          </cell>
          <cell r="H127" t="str">
            <v>--</v>
          </cell>
          <cell r="I127" t="str">
            <v>--</v>
          </cell>
          <cell r="J127" t="str">
            <v>Too high</v>
          </cell>
          <cell r="K127" t="str">
            <v>Satisfactory</v>
          </cell>
          <cell r="L127" t="str">
            <v>Lower</v>
          </cell>
          <cell r="M127" t="str">
            <v>Maintain</v>
          </cell>
          <cell r="N127" t="str">
            <v>Satisfactory</v>
          </cell>
          <cell r="O127" t="str">
            <v>Satisfactory</v>
          </cell>
          <cell r="P127" t="str">
            <v>No intervention</v>
          </cell>
          <cell r="Q127" t="str">
            <v>No intervention</v>
          </cell>
          <cell r="R127">
            <v>7524.8150000000005</v>
          </cell>
          <cell r="S127">
            <v>9402.098</v>
          </cell>
          <cell r="T127">
            <v>10338.368</v>
          </cell>
          <cell r="U127">
            <v>12864.55</v>
          </cell>
          <cell r="V127">
            <v>10023.962</v>
          </cell>
          <cell r="W127">
            <v>12482.817999999999</v>
          </cell>
          <cell r="X127">
            <v>24.307000000000002</v>
          </cell>
          <cell r="Y127">
            <v>19.445</v>
          </cell>
          <cell r="Z127">
            <v>20.709000000000003</v>
          </cell>
          <cell r="AA127">
            <v>18.204000000000001</v>
          </cell>
          <cell r="AB127">
            <v>390</v>
          </cell>
          <cell r="AC127">
            <v>150</v>
          </cell>
          <cell r="AD127">
            <v>3.5979999999999999</v>
          </cell>
          <cell r="AE127">
            <v>1.2410000000000001</v>
          </cell>
          <cell r="AF127">
            <v>14.121158818500746</v>
          </cell>
          <cell r="AG127">
            <v>5.4311736331727403</v>
          </cell>
          <cell r="AH127">
            <v>38924.04</v>
          </cell>
          <cell r="AI127">
            <v>38271.566999999995</v>
          </cell>
        </row>
        <row r="128">
          <cell r="A128" t="str">
            <v>Maldives</v>
          </cell>
          <cell r="B128">
            <v>462</v>
          </cell>
          <cell r="C128" t="str">
            <v>--</v>
          </cell>
          <cell r="D128" t="str">
            <v>--</v>
          </cell>
          <cell r="E128" t="str">
            <v>-</v>
          </cell>
          <cell r="F128" t="str">
            <v>-</v>
          </cell>
          <cell r="G128" t="str">
            <v>--</v>
          </cell>
          <cell r="H128" t="str">
            <v>--</v>
          </cell>
          <cell r="I128" t="str">
            <v>--</v>
          </cell>
          <cell r="J128" t="str">
            <v>Satisfactory</v>
          </cell>
          <cell r="K128" t="str">
            <v>Satisfactory</v>
          </cell>
          <cell r="L128" t="str">
            <v>Lower</v>
          </cell>
          <cell r="M128" t="str">
            <v>Lower</v>
          </cell>
          <cell r="N128" t="str">
            <v>Satisfactory</v>
          </cell>
          <cell r="O128" t="str">
            <v>Satisfactory</v>
          </cell>
          <cell r="P128" t="str">
            <v>No intervention</v>
          </cell>
          <cell r="Q128" t="str">
            <v>No intervention</v>
          </cell>
          <cell r="R128">
            <v>1189.3309999999999</v>
          </cell>
          <cell r="S128">
            <v>1586.3440000000001</v>
          </cell>
          <cell r="T128">
            <v>129.25299999999999</v>
          </cell>
          <cell r="U128">
            <v>169.03399999999999</v>
          </cell>
          <cell r="V128">
            <v>122.55</v>
          </cell>
          <cell r="W128">
            <v>160.16399999999999</v>
          </cell>
          <cell r="X128">
            <v>28.343000000000004</v>
          </cell>
          <cell r="Y128">
            <v>25.178999999999998</v>
          </cell>
          <cell r="Z128">
            <v>28.343000000000004</v>
          </cell>
          <cell r="AA128">
            <v>25.178999999999998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682.255</v>
          </cell>
          <cell r="AI128">
            <v>682.255</v>
          </cell>
        </row>
        <row r="129">
          <cell r="A129" t="str">
            <v>Mali</v>
          </cell>
          <cell r="B129">
            <v>466</v>
          </cell>
          <cell r="C129">
            <v>1973</v>
          </cell>
          <cell r="D129">
            <v>1973</v>
          </cell>
          <cell r="E129" t="str">
            <v>-</v>
          </cell>
          <cell r="F129" t="str">
            <v>-</v>
          </cell>
          <cell r="G129">
            <v>2003</v>
          </cell>
          <cell r="H129">
            <v>2002</v>
          </cell>
          <cell r="I129">
            <v>2002</v>
          </cell>
          <cell r="J129" t="str">
            <v>Satisfactory</v>
          </cell>
          <cell r="K129" t="str">
            <v>Too high</v>
          </cell>
          <cell r="L129" t="str">
            <v>Maintain</v>
          </cell>
          <cell r="M129" t="str">
            <v>No intervention</v>
          </cell>
          <cell r="N129" t="str">
            <v>Satisfactory</v>
          </cell>
          <cell r="O129" t="str">
            <v>Too high</v>
          </cell>
          <cell r="P129" t="str">
            <v>Maintain</v>
          </cell>
          <cell r="Q129" t="str">
            <v>Lower</v>
          </cell>
          <cell r="R129">
            <v>732.32100000000003</v>
          </cell>
          <cell r="S129">
            <v>751.21800000000007</v>
          </cell>
          <cell r="T129">
            <v>5042.3220000000001</v>
          </cell>
          <cell r="U129">
            <v>6736.5420000000004</v>
          </cell>
          <cell r="V129">
            <v>5104.6450000000004</v>
          </cell>
          <cell r="W129">
            <v>6781.8739999999998</v>
          </cell>
          <cell r="X129">
            <v>27.529000000000003</v>
          </cell>
          <cell r="Y129">
            <v>29.748000000000001</v>
          </cell>
          <cell r="Z129">
            <v>32.74</v>
          </cell>
          <cell r="AA129">
            <v>31.881</v>
          </cell>
          <cell r="AB129">
            <v>-283.89600000000002</v>
          </cell>
          <cell r="AC129">
            <v>-134.20400000000001</v>
          </cell>
          <cell r="AD129">
            <v>-5.2110000000000003</v>
          </cell>
          <cell r="AE129">
            <v>-2.133</v>
          </cell>
          <cell r="AF129">
            <v>-10.182447351091714</v>
          </cell>
          <cell r="AG129">
            <v>-4.2922740410555615</v>
          </cell>
          <cell r="AH129">
            <v>41975.616999999998</v>
          </cell>
          <cell r="AI129">
            <v>44306.623999999996</v>
          </cell>
        </row>
        <row r="130">
          <cell r="A130" t="str">
            <v>Malta</v>
          </cell>
          <cell r="B130">
            <v>470</v>
          </cell>
          <cell r="C130">
            <v>1971</v>
          </cell>
          <cell r="D130">
            <v>1971</v>
          </cell>
          <cell r="E130" t="str">
            <v>-</v>
          </cell>
          <cell r="F130" t="str">
            <v>-</v>
          </cell>
          <cell r="G130" t="str">
            <v>--</v>
          </cell>
          <cell r="H130">
            <v>2003</v>
          </cell>
          <cell r="I130">
            <v>2003</v>
          </cell>
          <cell r="J130" t="str">
            <v>Satisfactory</v>
          </cell>
          <cell r="K130" t="str">
            <v>Satisfactory</v>
          </cell>
          <cell r="L130" t="str">
            <v>Maintain</v>
          </cell>
          <cell r="M130" t="str">
            <v>Maintain</v>
          </cell>
          <cell r="N130" t="str">
            <v>Satisfactory</v>
          </cell>
          <cell r="O130" t="str">
            <v>Satisfactory</v>
          </cell>
          <cell r="P130" t="str">
            <v>No intervention</v>
          </cell>
          <cell r="Q130" t="str">
            <v>No intervention</v>
          </cell>
          <cell r="R130">
            <v>7391.2650000000003</v>
          </cell>
          <cell r="S130">
            <v>8527.777</v>
          </cell>
          <cell r="T130">
            <v>187.15100000000001</v>
          </cell>
          <cell r="U130">
            <v>199.17599999999999</v>
          </cell>
          <cell r="V130">
            <v>190.63399999999999</v>
          </cell>
          <cell r="W130">
            <v>202.45400000000001</v>
          </cell>
          <cell r="X130">
            <v>7.2850000000000001</v>
          </cell>
          <cell r="Y130">
            <v>4.9560000000000013</v>
          </cell>
          <cell r="Z130">
            <v>4.4260000000000002</v>
          </cell>
          <cell r="AA130">
            <v>2.1830000000000007</v>
          </cell>
          <cell r="AB130">
            <v>5.5</v>
          </cell>
          <cell r="AC130">
            <v>5.5</v>
          </cell>
          <cell r="AD130">
            <v>2.859</v>
          </cell>
          <cell r="AE130">
            <v>2.7730000000000001</v>
          </cell>
          <cell r="AF130">
            <v>23.380377486821967</v>
          </cell>
          <cell r="AG130">
            <v>27.397260273972602</v>
          </cell>
          <cell r="AH130">
            <v>428.28500000000003</v>
          </cell>
          <cell r="AI130">
            <v>385.33199999999999</v>
          </cell>
        </row>
        <row r="131">
          <cell r="A131" t="str">
            <v>Marshall Islands</v>
          </cell>
          <cell r="B131">
            <v>584</v>
          </cell>
          <cell r="C131" t="str">
            <v>--</v>
          </cell>
          <cell r="D131" t="str">
            <v>--</v>
          </cell>
          <cell r="E131" t="str">
            <v>-</v>
          </cell>
          <cell r="F131" t="str">
            <v>-</v>
          </cell>
          <cell r="G131" t="str">
            <v>--</v>
          </cell>
          <cell r="H131" t="str">
            <v>--</v>
          </cell>
          <cell r="I131" t="str">
            <v>--</v>
          </cell>
          <cell r="J131" t="str">
            <v>Satisfactory</v>
          </cell>
          <cell r="K131" t="str">
            <v>Satisfactory</v>
          </cell>
          <cell r="L131" t="str">
            <v>Lower</v>
          </cell>
          <cell r="M131" t="str">
            <v>Maintain</v>
          </cell>
          <cell r="N131" t="str">
            <v>Satisfactory</v>
          </cell>
          <cell r="O131" t="str">
            <v>Satisfactory</v>
          </cell>
          <cell r="P131" t="str">
            <v>No intervention</v>
          </cell>
          <cell r="Q131" t="str">
            <v>Maintain</v>
          </cell>
          <cell r="R131">
            <v>0.78100000000000003</v>
          </cell>
          <cell r="S131">
            <v>0.78299999999999992</v>
          </cell>
          <cell r="T131">
            <v>26.082000000000001</v>
          </cell>
          <cell r="U131">
            <v>31.687000000000001</v>
          </cell>
          <cell r="V131">
            <v>24.927</v>
          </cell>
          <cell r="W131">
            <v>30.276</v>
          </cell>
          <cell r="X131">
            <v>4.3930000000000042</v>
          </cell>
          <cell r="Y131">
            <v>34.427999999999997</v>
          </cell>
          <cell r="Z131">
            <v>35.916000000000004</v>
          </cell>
          <cell r="AA131">
            <v>34.427999999999997</v>
          </cell>
          <cell r="AB131">
            <v>-8.1289999999999996</v>
          </cell>
          <cell r="AC131">
            <v>0</v>
          </cell>
          <cell r="AD131">
            <v>-31.523</v>
          </cell>
          <cell r="AE131">
            <v>0</v>
          </cell>
          <cell r="AF131">
            <v>-75.373203523412144</v>
          </cell>
          <cell r="AG131">
            <v>0</v>
          </cell>
          <cell r="AH131">
            <v>149.69200000000001</v>
          </cell>
          <cell r="AI131">
            <v>149.69200000000001</v>
          </cell>
        </row>
        <row r="132">
          <cell r="A132" t="str">
            <v>Martinique</v>
          </cell>
          <cell r="B132">
            <v>474</v>
          </cell>
          <cell r="C132" t="str">
            <v>-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  <cell r="R132">
            <v>5624.9539999999997</v>
          </cell>
          <cell r="S132">
            <v>7204.723</v>
          </cell>
          <cell r="T132">
            <v>180.32400000000001</v>
          </cell>
          <cell r="U132">
            <v>187.55</v>
          </cell>
          <cell r="V132">
            <v>195.08799999999999</v>
          </cell>
          <cell r="W132">
            <v>208.38200000000001</v>
          </cell>
          <cell r="X132">
            <v>5.6050000000000004</v>
          </cell>
          <cell r="Y132">
            <v>5.0380000000000003</v>
          </cell>
          <cell r="Z132">
            <v>8.7309999999999999</v>
          </cell>
          <cell r="AA132">
            <v>7.0840000000000005</v>
          </cell>
          <cell r="AB132">
            <v>-5.952</v>
          </cell>
          <cell r="AC132">
            <v>-4</v>
          </cell>
          <cell r="AD132">
            <v>-3.1259999999999999</v>
          </cell>
          <cell r="AE132">
            <v>-2.0459999999999998</v>
          </cell>
          <cell r="AF132">
            <v>-20.066754323859612</v>
          </cell>
          <cell r="AG132">
            <v>-14.336917562724016</v>
          </cell>
          <cell r="AH132">
            <v>350.31200000000001</v>
          </cell>
          <cell r="AI132">
            <v>436.137</v>
          </cell>
        </row>
        <row r="133">
          <cell r="A133" t="str">
            <v>Mauritania</v>
          </cell>
          <cell r="B133">
            <v>478</v>
          </cell>
          <cell r="C133">
            <v>1987</v>
          </cell>
          <cell r="D133">
            <v>1987</v>
          </cell>
          <cell r="E133" t="str">
            <v>-</v>
          </cell>
          <cell r="F133" t="str">
            <v>-</v>
          </cell>
          <cell r="G133" t="str">
            <v>--</v>
          </cell>
          <cell r="H133">
            <v>2005</v>
          </cell>
          <cell r="I133">
            <v>2005</v>
          </cell>
          <cell r="J133" t="str">
            <v>Satisfactory</v>
          </cell>
          <cell r="K133" t="str">
            <v>Satisfactory</v>
          </cell>
          <cell r="L133" t="str">
            <v>No intervention</v>
          </cell>
          <cell r="M133" t="str">
            <v>No intervention</v>
          </cell>
          <cell r="N133" t="str">
            <v>Satisfactory</v>
          </cell>
          <cell r="O133" t="str">
            <v>Satisfactory</v>
          </cell>
          <cell r="P133" t="str">
            <v>No intervention</v>
          </cell>
          <cell r="Q133" t="str">
            <v>No intervention</v>
          </cell>
          <cell r="R133">
            <v>10328.968000000001</v>
          </cell>
          <cell r="S133">
            <v>10097.731</v>
          </cell>
          <cell r="T133">
            <v>1131.2650000000001</v>
          </cell>
          <cell r="U133">
            <v>1517.6020000000001</v>
          </cell>
          <cell r="V133">
            <v>1168.748</v>
          </cell>
          <cell r="W133">
            <v>1551.14</v>
          </cell>
          <cell r="X133">
            <v>27.868999999999996</v>
          </cell>
          <cell r="Y133">
            <v>29.701000000000004</v>
          </cell>
          <cell r="Z133">
            <v>27.067999999999998</v>
          </cell>
          <cell r="AA133">
            <v>27.601000000000003</v>
          </cell>
          <cell r="AB133">
            <v>9.9</v>
          </cell>
          <cell r="AC133">
            <v>30</v>
          </cell>
          <cell r="AD133">
            <v>0.80100000000000005</v>
          </cell>
          <cell r="AE133">
            <v>2.1</v>
          </cell>
          <cell r="AF133">
            <v>1.8807669729720489</v>
          </cell>
          <cell r="AG133">
            <v>5.0250162056772627</v>
          </cell>
          <cell r="AH133">
            <v>7496.8620000000001</v>
          </cell>
          <cell r="AI133">
            <v>7475.6379999999999</v>
          </cell>
        </row>
        <row r="134">
          <cell r="A134" t="str">
            <v>Mauritius</v>
          </cell>
          <cell r="B134">
            <v>480</v>
          </cell>
          <cell r="C134" t="str">
            <v>--</v>
          </cell>
          <cell r="D134" t="str">
            <v>--</v>
          </cell>
          <cell r="E134">
            <v>1969</v>
          </cell>
          <cell r="F134" t="str">
            <v>-</v>
          </cell>
          <cell r="G134" t="str">
            <v>--</v>
          </cell>
          <cell r="H134">
            <v>2003</v>
          </cell>
          <cell r="I134">
            <v>2003</v>
          </cell>
          <cell r="J134" t="str">
            <v>Satisfactory</v>
          </cell>
          <cell r="K134" t="str">
            <v>Satisfactory</v>
          </cell>
          <cell r="L134" t="str">
            <v>Lower</v>
          </cell>
          <cell r="M134" t="str">
            <v>No intervention</v>
          </cell>
          <cell r="N134" t="str">
            <v>Satisfactory</v>
          </cell>
          <cell r="O134" t="str">
            <v>Satisfactory</v>
          </cell>
          <cell r="P134" t="str">
            <v>Maintain</v>
          </cell>
          <cell r="Q134" t="str">
            <v>No intervention</v>
          </cell>
          <cell r="R134">
            <v>267.47800000000001</v>
          </cell>
          <cell r="S134">
            <v>294.56100000000004</v>
          </cell>
          <cell r="T134">
            <v>561.11300000000006</v>
          </cell>
          <cell r="U134">
            <v>618.04100000000005</v>
          </cell>
          <cell r="V134">
            <v>563.48500000000001</v>
          </cell>
          <cell r="W134">
            <v>626.62199999999996</v>
          </cell>
          <cell r="X134">
            <v>10.579000000000001</v>
          </cell>
          <cell r="Y134">
            <v>9.7040000000000006</v>
          </cell>
          <cell r="Z134">
            <v>10.925000000000001</v>
          </cell>
          <cell r="AA134">
            <v>9.7040000000000006</v>
          </cell>
          <cell r="AB134">
            <v>-2</v>
          </cell>
          <cell r="AC134">
            <v>0</v>
          </cell>
          <cell r="AD134">
            <v>-0.34599999999999997</v>
          </cell>
          <cell r="AE134">
            <v>0</v>
          </cell>
          <cell r="AF134">
            <v>-1.9647523429671692</v>
          </cell>
          <cell r="AG134">
            <v>0</v>
          </cell>
          <cell r="AH134">
            <v>1465.4860000000001</v>
          </cell>
          <cell r="AI134">
            <v>1465.4860000000001</v>
          </cell>
        </row>
        <row r="135">
          <cell r="A135" t="str">
            <v>Mexico</v>
          </cell>
          <cell r="B135">
            <v>484</v>
          </cell>
          <cell r="C135">
            <v>2000</v>
          </cell>
          <cell r="D135">
            <v>2000</v>
          </cell>
          <cell r="E135" t="str">
            <v>-</v>
          </cell>
          <cell r="F135" t="str">
            <v>-</v>
          </cell>
          <cell r="G135">
            <v>1999</v>
          </cell>
          <cell r="H135">
            <v>2003</v>
          </cell>
          <cell r="I135">
            <v>2003</v>
          </cell>
          <cell r="J135" t="str">
            <v>Satisfactory</v>
          </cell>
          <cell r="K135" t="str">
            <v>Satisfactory</v>
          </cell>
          <cell r="L135" t="str">
            <v>Lower</v>
          </cell>
          <cell r="M135" t="str">
            <v>Maintain</v>
          </cell>
          <cell r="N135" t="str">
            <v>Too high</v>
          </cell>
          <cell r="O135" t="str">
            <v>Too high</v>
          </cell>
          <cell r="P135" t="str">
            <v>Lower</v>
          </cell>
          <cell r="Q135" t="str">
            <v>Lower</v>
          </cell>
          <cell r="R135">
            <v>3608.85</v>
          </cell>
          <cell r="S135">
            <v>4147.9009999999998</v>
          </cell>
          <cell r="T135">
            <v>45485.18</v>
          </cell>
          <cell r="U135">
            <v>52307.654999999999</v>
          </cell>
          <cell r="V135">
            <v>47038.076999999997</v>
          </cell>
          <cell r="W135">
            <v>54721.705000000002</v>
          </cell>
          <cell r="X135">
            <v>15.71</v>
          </cell>
          <cell r="Y135">
            <v>13.405999999999999</v>
          </cell>
          <cell r="Z135">
            <v>19.863</v>
          </cell>
          <cell r="AA135">
            <v>17.268999999999998</v>
          </cell>
          <cell r="AB135">
            <v>-2000</v>
          </cell>
          <cell r="AC135">
            <v>-2000</v>
          </cell>
          <cell r="AD135">
            <v>-4.1529999999999996</v>
          </cell>
          <cell r="AE135">
            <v>-3.863</v>
          </cell>
          <cell r="AF135">
            <v>-17.013505405658538</v>
          </cell>
          <cell r="AG135">
            <v>-17.776104453811861</v>
          </cell>
          <cell r="AH135">
            <v>139014.54700000002</v>
          </cell>
          <cell r="AI135">
            <v>157831.33499999999</v>
          </cell>
        </row>
        <row r="136">
          <cell r="A136" t="str">
            <v>Federated States of Micronesia</v>
          </cell>
          <cell r="B136">
            <v>954</v>
          </cell>
          <cell r="C136" t="str">
            <v>--</v>
          </cell>
          <cell r="D136" t="str">
            <v>--</v>
          </cell>
          <cell r="E136" t="str">
            <v>-</v>
          </cell>
          <cell r="F136" t="str">
            <v>-</v>
          </cell>
          <cell r="G136" t="str">
            <v>--</v>
          </cell>
          <cell r="H136" t="str">
            <v>--</v>
          </cell>
          <cell r="I136" t="str">
            <v>--</v>
          </cell>
          <cell r="J136" t="str">
            <v>Too high</v>
          </cell>
          <cell r="K136" t="str">
            <v>Too high</v>
          </cell>
          <cell r="L136" t="str">
            <v>Lower</v>
          </cell>
          <cell r="M136" t="str">
            <v>Lower</v>
          </cell>
          <cell r="N136" t="str">
            <v>Too high</v>
          </cell>
          <cell r="O136" t="str">
            <v>Too high</v>
          </cell>
          <cell r="P136" t="str">
            <v>Lower</v>
          </cell>
          <cell r="Q136" t="str">
            <v>No intervention</v>
          </cell>
          <cell r="R136">
            <v>72.067000000000007</v>
          </cell>
          <cell r="S136">
            <v>76.537999999999997</v>
          </cell>
          <cell r="T136">
            <v>54.798999999999999</v>
          </cell>
          <cell r="U136">
            <v>55.588999999999999</v>
          </cell>
          <cell r="V136">
            <v>52.414000000000001</v>
          </cell>
          <cell r="W136">
            <v>54.898000000000003</v>
          </cell>
          <cell r="X136">
            <v>-0.22500000000000142</v>
          </cell>
          <cell r="Y136">
            <v>6.2409999999999997</v>
          </cell>
          <cell r="Z136">
            <v>25.192999999999998</v>
          </cell>
          <cell r="AA136">
            <v>24.625</v>
          </cell>
          <cell r="AB136">
            <v>-13.618</v>
          </cell>
          <cell r="AC136">
            <v>-10</v>
          </cell>
          <cell r="AD136">
            <v>-25.417999999999999</v>
          </cell>
          <cell r="AE136">
            <v>-18.384</v>
          </cell>
          <cell r="AF136">
            <v>-80.747109398161882</v>
          </cell>
          <cell r="AG136">
            <v>-59.584102961329911</v>
          </cell>
          <cell r="AH136">
            <v>98.584999999999994</v>
          </cell>
          <cell r="AI136">
            <v>240.55500000000001</v>
          </cell>
        </row>
        <row r="137">
          <cell r="A137" t="str">
            <v>Monaco</v>
          </cell>
          <cell r="B137">
            <v>492</v>
          </cell>
          <cell r="C137">
            <v>1954</v>
          </cell>
          <cell r="D137" t="str">
            <v>--</v>
          </cell>
          <cell r="E137" t="str">
            <v>-</v>
          </cell>
          <cell r="F137" t="str">
            <v>-</v>
          </cell>
          <cell r="G137" t="str">
            <v>--</v>
          </cell>
          <cell r="H137">
            <v>2001</v>
          </cell>
          <cell r="I137">
            <v>2001</v>
          </cell>
          <cell r="J137" t="str">
            <v>Satisfactory</v>
          </cell>
          <cell r="K137" t="str">
            <v>Satisfactory</v>
          </cell>
          <cell r="L137" t="str">
            <v>Lower</v>
          </cell>
          <cell r="M137" t="str">
            <v>Maintain</v>
          </cell>
          <cell r="N137" t="str">
            <v>Satisfactory</v>
          </cell>
          <cell r="O137" t="str">
            <v>Satisfactory</v>
          </cell>
          <cell r="P137" t="str">
            <v>Maintain</v>
          </cell>
          <cell r="Q137" t="str">
            <v>Maintain</v>
          </cell>
          <cell r="R137">
            <v>57301.05</v>
          </cell>
          <cell r="S137">
            <v>58092.743999999999</v>
          </cell>
          <cell r="T137">
            <v>14.843999999999999</v>
          </cell>
          <cell r="U137">
            <v>16.757999999999999</v>
          </cell>
          <cell r="V137">
            <v>16.756</v>
          </cell>
          <cell r="W137">
            <v>18.495000000000001</v>
          </cell>
          <cell r="X137">
            <v>10.958000000000002</v>
          </cell>
          <cell r="Y137">
            <v>10.917</v>
          </cell>
          <cell r="Z137">
            <v>-1.0889999999999986</v>
          </cell>
          <cell r="AA137">
            <v>0.42600000000000016</v>
          </cell>
          <cell r="AB137">
            <v>1.9570000000000001</v>
          </cell>
          <cell r="AC137">
            <v>1.8</v>
          </cell>
          <cell r="AD137">
            <v>12.047000000000001</v>
          </cell>
          <cell r="AE137">
            <v>10.491</v>
          </cell>
          <cell r="AF137">
            <v>110.56497175141243</v>
          </cell>
          <cell r="AG137">
            <v>96.878363832077497</v>
          </cell>
          <cell r="AH137">
            <v>54.518000000000001</v>
          </cell>
          <cell r="AI137">
            <v>32.006999999999998</v>
          </cell>
        </row>
        <row r="138">
          <cell r="A138" t="str">
            <v>Mongolia</v>
          </cell>
          <cell r="B138">
            <v>496</v>
          </cell>
          <cell r="C138" t="str">
            <v>--</v>
          </cell>
          <cell r="D138" t="str">
            <v>--</v>
          </cell>
          <cell r="E138" t="str">
            <v>-</v>
          </cell>
          <cell r="F138" t="str">
            <v>-</v>
          </cell>
          <cell r="G138" t="str">
            <v>--</v>
          </cell>
          <cell r="H138" t="str">
            <v>--</v>
          </cell>
          <cell r="I138" t="str">
            <v>--</v>
          </cell>
          <cell r="J138" t="str">
            <v>Satisfactory</v>
          </cell>
          <cell r="K138" t="str">
            <v>Satisfactory</v>
          </cell>
          <cell r="L138" t="str">
            <v>Maintain</v>
          </cell>
          <cell r="M138" t="str">
            <v>Maintain</v>
          </cell>
          <cell r="N138" t="str">
            <v>Satisfactory</v>
          </cell>
          <cell r="O138" t="str">
            <v>Too high</v>
          </cell>
          <cell r="P138" t="str">
            <v>No intervention</v>
          </cell>
          <cell r="Q138" t="str">
            <v>Maintain</v>
          </cell>
          <cell r="R138">
            <v>2484.2110000000002</v>
          </cell>
          <cell r="S138">
            <v>2650.7130000000002</v>
          </cell>
          <cell r="T138">
            <v>1194.77</v>
          </cell>
          <cell r="U138">
            <v>1325.521</v>
          </cell>
          <cell r="V138">
            <v>1194.5260000000001</v>
          </cell>
          <cell r="W138">
            <v>1320.9659999999999</v>
          </cell>
          <cell r="X138">
            <v>8.84</v>
          </cell>
          <cell r="Y138">
            <v>11.602</v>
          </cell>
          <cell r="Z138">
            <v>16.207000000000001</v>
          </cell>
          <cell r="AA138">
            <v>15.49</v>
          </cell>
          <cell r="AB138">
            <v>-90</v>
          </cell>
          <cell r="AC138">
            <v>-50</v>
          </cell>
          <cell r="AD138">
            <v>-7.367</v>
          </cell>
          <cell r="AE138">
            <v>-3.8879999999999999</v>
          </cell>
          <cell r="AF138">
            <v>-30.330603579011221</v>
          </cell>
          <cell r="AG138">
            <v>-17.089985610232112</v>
          </cell>
          <cell r="AH138">
            <v>3624.8040000000001</v>
          </cell>
          <cell r="AI138">
            <v>3754.2550000000001</v>
          </cell>
        </row>
        <row r="139">
          <cell r="A139" t="str">
            <v>Montserrat</v>
          </cell>
          <cell r="B139">
            <v>500</v>
          </cell>
          <cell r="C139" t="str">
            <v>-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-</v>
          </cell>
          <cell r="P139" t="str">
            <v>-</v>
          </cell>
          <cell r="Q139" t="str">
            <v>-</v>
          </cell>
          <cell r="R139">
            <v>27225.891</v>
          </cell>
          <cell r="S139">
            <v>34255.721999999994</v>
          </cell>
          <cell r="T139">
            <v>5.0910000000000002</v>
          </cell>
          <cell r="U139">
            <v>2.2280000000000002</v>
          </cell>
          <cell r="V139">
            <v>5.1420000000000003</v>
          </cell>
          <cell r="W139">
            <v>2.2719999999999998</v>
          </cell>
          <cell r="X139">
            <v>-178.79</v>
          </cell>
          <cell r="Y139">
            <v>28.011000000000003</v>
          </cell>
          <cell r="Z139">
            <v>14.761999999999999</v>
          </cell>
          <cell r="AA139">
            <v>13.839</v>
          </cell>
          <cell r="AB139">
            <v>-6.8440000000000003</v>
          </cell>
          <cell r="AC139">
            <v>0.29799999999999999</v>
          </cell>
          <cell r="AD139">
            <v>-193.55199999999999</v>
          </cell>
          <cell r="AE139">
            <v>14.172000000000001</v>
          </cell>
          <cell r="AF139">
            <v>-927.37127371273721</v>
          </cell>
          <cell r="AG139">
            <v>75.252525252525245</v>
          </cell>
          <cell r="AH139">
            <v>5.3870000000000005</v>
          </cell>
          <cell r="AI139">
            <v>5.3870000000000005</v>
          </cell>
        </row>
        <row r="140">
          <cell r="A140" t="str">
            <v>Morocco</v>
          </cell>
          <cell r="B140">
            <v>504</v>
          </cell>
          <cell r="C140">
            <v>1956</v>
          </cell>
          <cell r="D140">
            <v>1971</v>
          </cell>
          <cell r="E140" t="str">
            <v>-</v>
          </cell>
          <cell r="F140" t="str">
            <v>-</v>
          </cell>
          <cell r="G140">
            <v>1993</v>
          </cell>
          <cell r="H140" t="str">
            <v>--</v>
          </cell>
          <cell r="I140" t="str">
            <v>--</v>
          </cell>
          <cell r="J140" t="str">
            <v>Satisfactory</v>
          </cell>
          <cell r="K140" t="str">
            <v>Too high</v>
          </cell>
          <cell r="L140" t="str">
            <v>No intervention</v>
          </cell>
          <cell r="M140" t="str">
            <v>Lower</v>
          </cell>
          <cell r="N140" t="str">
            <v>Satisfactory</v>
          </cell>
          <cell r="O140" t="str">
            <v>Too low</v>
          </cell>
          <cell r="P140" t="str">
            <v>No intervention</v>
          </cell>
          <cell r="Q140" t="str">
            <v>Maintain</v>
          </cell>
          <cell r="R140">
            <v>80.371000000000009</v>
          </cell>
          <cell r="S140">
            <v>99.35</v>
          </cell>
          <cell r="T140">
            <v>13462.416999999999</v>
          </cell>
          <cell r="U140">
            <v>15645.503000000001</v>
          </cell>
          <cell r="V140">
            <v>13541.326999999999</v>
          </cell>
          <cell r="W140">
            <v>15832.957</v>
          </cell>
          <cell r="X140">
            <v>15.838999999999999</v>
          </cell>
          <cell r="Y140">
            <v>14.811000000000003</v>
          </cell>
          <cell r="Z140">
            <v>17.972999999999999</v>
          </cell>
          <cell r="AA140">
            <v>17.447000000000003</v>
          </cell>
          <cell r="AB140">
            <v>-300</v>
          </cell>
          <cell r="AC140">
            <v>-400</v>
          </cell>
          <cell r="AD140">
            <v>-2.1339999999999999</v>
          </cell>
          <cell r="AE140">
            <v>-2.6360000000000001</v>
          </cell>
          <cell r="AF140">
            <v>-8.8225329845099836</v>
          </cell>
          <cell r="AG140">
            <v>-11.322441333477883</v>
          </cell>
          <cell r="AH140">
            <v>46396.964999999997</v>
          </cell>
          <cell r="AI140">
            <v>50024.739000000001</v>
          </cell>
        </row>
        <row r="141">
          <cell r="A141" t="str">
            <v>Mozambique</v>
          </cell>
          <cell r="B141">
            <v>508</v>
          </cell>
          <cell r="C141">
            <v>1983</v>
          </cell>
          <cell r="D141">
            <v>1989</v>
          </cell>
          <cell r="E141" t="str">
            <v>-</v>
          </cell>
          <cell r="F141" t="str">
            <v>-</v>
          </cell>
          <cell r="G141" t="str">
            <v>--</v>
          </cell>
          <cell r="H141" t="str">
            <v>--</v>
          </cell>
          <cell r="I141" t="str">
            <v>--</v>
          </cell>
          <cell r="J141" t="str">
            <v>Satisfactory</v>
          </cell>
          <cell r="K141" t="str">
            <v>Satisfactory</v>
          </cell>
          <cell r="L141" t="str">
            <v>No intervention</v>
          </cell>
          <cell r="M141" t="str">
            <v>No intervention</v>
          </cell>
          <cell r="N141" t="str">
            <v>Satisfactory</v>
          </cell>
          <cell r="O141" t="str">
            <v>Satisfactory</v>
          </cell>
          <cell r="P141" t="str">
            <v>No intervention</v>
          </cell>
          <cell r="Q141" t="str">
            <v>No intervention</v>
          </cell>
          <cell r="R141">
            <v>2497.7309999999998</v>
          </cell>
          <cell r="S141">
            <v>2306.9880000000003</v>
          </cell>
          <cell r="T141">
            <v>7563.0370000000003</v>
          </cell>
          <cell r="U141">
            <v>9579.8469999999998</v>
          </cell>
          <cell r="V141">
            <v>8290.7039999999997</v>
          </cell>
          <cell r="W141">
            <v>10212.448</v>
          </cell>
          <cell r="X141">
            <v>24.366999999999997</v>
          </cell>
          <cell r="Y141">
            <v>19.963999999999999</v>
          </cell>
          <cell r="Z141">
            <v>23.477999999999998</v>
          </cell>
          <cell r="AA141">
            <v>20.175999999999998</v>
          </cell>
          <cell r="AB141">
            <v>75</v>
          </cell>
          <cell r="AC141">
            <v>-20</v>
          </cell>
          <cell r="AD141">
            <v>0.88900000000000001</v>
          </cell>
          <cell r="AE141">
            <v>-0.21199999999999999</v>
          </cell>
          <cell r="AF141">
            <v>2.0705208353750968</v>
          </cell>
          <cell r="AG141">
            <v>-0.52557044759418814</v>
          </cell>
          <cell r="AH141">
            <v>37604.353000000003</v>
          </cell>
          <cell r="AI141">
            <v>37778.622000000003</v>
          </cell>
        </row>
        <row r="142">
          <cell r="A142" t="str">
            <v>Myanmar</v>
          </cell>
          <cell r="B142">
            <v>104</v>
          </cell>
          <cell r="C142" t="str">
            <v>--</v>
          </cell>
          <cell r="D142" t="str">
            <v>--</v>
          </cell>
          <cell r="E142" t="str">
            <v>-</v>
          </cell>
          <cell r="F142" t="str">
            <v>-</v>
          </cell>
          <cell r="G142" t="str">
            <v>--</v>
          </cell>
          <cell r="H142">
            <v>2004</v>
          </cell>
          <cell r="I142">
            <v>2004</v>
          </cell>
          <cell r="J142" t="str">
            <v>Satisfactory</v>
          </cell>
          <cell r="K142" t="str">
            <v>Satisfactory</v>
          </cell>
          <cell r="L142" t="str">
            <v>Maintain</v>
          </cell>
          <cell r="M142" t="str">
            <v>Lower</v>
          </cell>
          <cell r="N142" t="str">
            <v>Satisfactory</v>
          </cell>
          <cell r="O142" t="str">
            <v>Satisfactory</v>
          </cell>
          <cell r="P142" t="str">
            <v>Maintain</v>
          </cell>
          <cell r="Q142" t="str">
            <v>Maintain</v>
          </cell>
          <cell r="R142">
            <v>1692.269</v>
          </cell>
          <cell r="S142">
            <v>1794.769</v>
          </cell>
          <cell r="T142">
            <v>22167.499</v>
          </cell>
          <cell r="U142">
            <v>25083.251</v>
          </cell>
          <cell r="V142">
            <v>22332.133000000002</v>
          </cell>
          <cell r="W142">
            <v>25436.241000000002</v>
          </cell>
          <cell r="X142">
            <v>13.984999999999999</v>
          </cell>
          <cell r="Y142">
            <v>11.381999999999998</v>
          </cell>
          <cell r="Z142">
            <v>13.725</v>
          </cell>
          <cell r="AA142">
            <v>11.096999999999998</v>
          </cell>
          <cell r="AB142">
            <v>60</v>
          </cell>
          <cell r="AC142">
            <v>70</v>
          </cell>
          <cell r="AD142">
            <v>0.26</v>
          </cell>
          <cell r="AE142">
            <v>0.28499999999999998</v>
          </cell>
          <cell r="AF142">
            <v>1.0827535939749815</v>
          </cell>
          <cell r="AG142">
            <v>1.3682513688866285</v>
          </cell>
          <cell r="AH142">
            <v>63657.320999999996</v>
          </cell>
          <cell r="AI142">
            <v>63769.157999999996</v>
          </cell>
        </row>
        <row r="143">
          <cell r="A143" t="str">
            <v>Namibia</v>
          </cell>
          <cell r="B143">
            <v>516</v>
          </cell>
          <cell r="C143">
            <v>1995</v>
          </cell>
          <cell r="D143">
            <v>1995</v>
          </cell>
          <cell r="E143" t="str">
            <v>-</v>
          </cell>
          <cell r="F143" t="str">
            <v>-</v>
          </cell>
          <cell r="G143" t="str">
            <v>--</v>
          </cell>
          <cell r="H143">
            <v>2002</v>
          </cell>
          <cell r="I143">
            <v>2002</v>
          </cell>
          <cell r="J143" t="str">
            <v>Satisfactory</v>
          </cell>
          <cell r="K143" t="str">
            <v>Satisfactory</v>
          </cell>
          <cell r="L143" t="str">
            <v>Raise</v>
          </cell>
          <cell r="M143" t="str">
            <v>Maintain</v>
          </cell>
          <cell r="N143" t="str">
            <v>Satisfactory</v>
          </cell>
          <cell r="O143" t="str">
            <v>Satisfactory</v>
          </cell>
          <cell r="P143" t="str">
            <v>Maintain</v>
          </cell>
          <cell r="Q143" t="str">
            <v>No intervention</v>
          </cell>
          <cell r="R143">
            <v>2141.4610000000002</v>
          </cell>
          <cell r="S143">
            <v>3283.2669999999998</v>
          </cell>
          <cell r="T143">
            <v>817.63800000000003</v>
          </cell>
          <cell r="U143">
            <v>1007.122</v>
          </cell>
          <cell r="V143">
            <v>833.90899999999999</v>
          </cell>
          <cell r="W143">
            <v>1024.1300000000001</v>
          </cell>
          <cell r="X143">
            <v>27.398999999999997</v>
          </cell>
          <cell r="Y143">
            <v>13.941000000000001</v>
          </cell>
          <cell r="Z143">
            <v>25.131999999999998</v>
          </cell>
          <cell r="AA143">
            <v>14.501000000000001</v>
          </cell>
          <cell r="AB143">
            <v>20.100000000000001</v>
          </cell>
          <cell r="AC143">
            <v>-5.5</v>
          </cell>
          <cell r="AD143">
            <v>2.2669999999999999</v>
          </cell>
          <cell r="AE143">
            <v>-0.56000000000000005</v>
          </cell>
          <cell r="AF143">
            <v>6.4645606993303879</v>
          </cell>
          <cell r="AG143">
            <v>-1.9235477214702899</v>
          </cell>
          <cell r="AH143">
            <v>3059.9009999999998</v>
          </cell>
          <cell r="AI143">
            <v>3025.8789999999999</v>
          </cell>
        </row>
        <row r="144">
          <cell r="A144" t="str">
            <v>Nauru</v>
          </cell>
          <cell r="B144">
            <v>520</v>
          </cell>
          <cell r="C144" t="str">
            <v>--</v>
          </cell>
          <cell r="D144" t="str">
            <v>--</v>
          </cell>
          <cell r="E144" t="str">
            <v>-</v>
          </cell>
          <cell r="F144" t="str">
            <v>-</v>
          </cell>
          <cell r="G144" t="str">
            <v>--</v>
          </cell>
          <cell r="H144" t="str">
            <v>--</v>
          </cell>
          <cell r="I144" t="str">
            <v>--</v>
          </cell>
          <cell r="J144" t="str">
            <v>Satisfactory</v>
          </cell>
          <cell r="K144" t="str">
            <v>Satisfactory</v>
          </cell>
          <cell r="L144" t="str">
            <v>Maintain</v>
          </cell>
          <cell r="M144" t="str">
            <v>Maintain</v>
          </cell>
          <cell r="N144" t="str">
            <v>Satisfactory</v>
          </cell>
          <cell r="O144" t="str">
            <v>Satisfactory</v>
          </cell>
          <cell r="P144" t="str">
            <v>Maintain</v>
          </cell>
          <cell r="Q144" t="str">
            <v>Maintain</v>
          </cell>
          <cell r="R144">
            <v>4807.6099999999997</v>
          </cell>
          <cell r="S144">
            <v>5853.4519999999993</v>
          </cell>
          <cell r="T144">
            <v>5.3570000000000002</v>
          </cell>
          <cell r="U144">
            <v>6.7720000000000002</v>
          </cell>
          <cell r="V144">
            <v>5.4050000000000002</v>
          </cell>
          <cell r="W144">
            <v>6.8630000000000004</v>
          </cell>
          <cell r="X144">
            <v>24.984999999999999</v>
          </cell>
          <cell r="Y144">
            <v>22.283000000000001</v>
          </cell>
          <cell r="Z144">
            <v>14.705</v>
          </cell>
          <cell r="AA144">
            <v>13.611000000000001</v>
          </cell>
          <cell r="AB144">
            <v>0.59</v>
          </cell>
          <cell r="AC144">
            <v>0.56000000000000005</v>
          </cell>
          <cell r="AD144">
            <v>10.28</v>
          </cell>
          <cell r="AE144">
            <v>8.6720000000000006</v>
          </cell>
          <cell r="AF144">
            <v>54.986020503261877</v>
          </cell>
          <cell r="AG144">
            <v>49.036777583187401</v>
          </cell>
          <cell r="AH144">
            <v>18.071999999999999</v>
          </cell>
          <cell r="AI144">
            <v>18.071999999999999</v>
          </cell>
        </row>
        <row r="145">
          <cell r="A145" t="str">
            <v>Nepal</v>
          </cell>
          <cell r="B145">
            <v>524</v>
          </cell>
          <cell r="C145" t="str">
            <v>--</v>
          </cell>
          <cell r="D145" t="str">
            <v>--</v>
          </cell>
          <cell r="E145" t="str">
            <v>-</v>
          </cell>
          <cell r="F145" t="str">
            <v>-</v>
          </cell>
          <cell r="G145" t="str">
            <v>--</v>
          </cell>
          <cell r="H145" t="str">
            <v>--</v>
          </cell>
          <cell r="I145" t="str">
            <v>--</v>
          </cell>
          <cell r="J145" t="str">
            <v>Too high</v>
          </cell>
          <cell r="K145" t="str">
            <v>Too high</v>
          </cell>
          <cell r="L145" t="str">
            <v>Lower</v>
          </cell>
          <cell r="M145" t="str">
            <v>Maintain</v>
          </cell>
          <cell r="N145" t="str">
            <v>Satisfactory</v>
          </cell>
          <cell r="O145" t="str">
            <v>Satisfactory</v>
          </cell>
          <cell r="P145" t="str">
            <v>No intervention</v>
          </cell>
          <cell r="Q145" t="str">
            <v>Raise</v>
          </cell>
          <cell r="R145">
            <v>30.951000000000001</v>
          </cell>
          <cell r="S145">
            <v>34.521000000000001</v>
          </cell>
          <cell r="T145">
            <v>10788.371999999999</v>
          </cell>
          <cell r="U145">
            <v>13445.541999999999</v>
          </cell>
          <cell r="V145">
            <v>10893.688</v>
          </cell>
          <cell r="W145">
            <v>13687.087</v>
          </cell>
          <cell r="X145">
            <v>23.841999999999999</v>
          </cell>
          <cell r="Y145">
            <v>20.961000000000002</v>
          </cell>
          <cell r="Z145">
            <v>24.701999999999998</v>
          </cell>
          <cell r="AA145">
            <v>21.737000000000002</v>
          </cell>
          <cell r="AB145">
            <v>-99.087999999999994</v>
          </cell>
          <cell r="AC145">
            <v>-100</v>
          </cell>
          <cell r="AD145">
            <v>-0.86</v>
          </cell>
          <cell r="AE145">
            <v>-0.77600000000000002</v>
          </cell>
          <cell r="AF145">
            <v>-2.4926325110339387</v>
          </cell>
          <cell r="AG145">
            <v>-2.5479544130188239</v>
          </cell>
          <cell r="AH145">
            <v>51171.841</v>
          </cell>
          <cell r="AI145">
            <v>51639.667000000001</v>
          </cell>
        </row>
        <row r="146">
          <cell r="A146" t="str">
            <v>Netherlands</v>
          </cell>
          <cell r="B146">
            <v>528</v>
          </cell>
          <cell r="C146">
            <v>1956</v>
          </cell>
          <cell r="D146">
            <v>1968</v>
          </cell>
          <cell r="E146">
            <v>1952</v>
          </cell>
          <cell r="F146" t="str">
            <v>-</v>
          </cell>
          <cell r="G146" t="str">
            <v>--</v>
          </cell>
          <cell r="H146">
            <v>2005</v>
          </cell>
          <cell r="I146">
            <v>2005</v>
          </cell>
          <cell r="J146" t="str">
            <v>Too high</v>
          </cell>
          <cell r="K146" t="str">
            <v>Too high</v>
          </cell>
          <cell r="L146" t="str">
            <v>Lower</v>
          </cell>
          <cell r="M146" t="str">
            <v>Lower</v>
          </cell>
          <cell r="N146" t="str">
            <v>Satisfactory</v>
          </cell>
          <cell r="O146" t="str">
            <v>Satisfactory</v>
          </cell>
          <cell r="P146" t="str">
            <v>No intervention</v>
          </cell>
          <cell r="Q146" t="str">
            <v>No intervention</v>
          </cell>
          <cell r="R146">
            <v>3628.174</v>
          </cell>
          <cell r="S146">
            <v>3431.0330000000004</v>
          </cell>
          <cell r="T146">
            <v>7644.75</v>
          </cell>
          <cell r="U146">
            <v>8091.1279999999997</v>
          </cell>
          <cell r="V146">
            <v>7814.15</v>
          </cell>
          <cell r="W146">
            <v>8208.0450000000001</v>
          </cell>
          <cell r="X146">
            <v>5.5949999999999998</v>
          </cell>
          <cell r="Y146">
            <v>4.9910000000000005</v>
          </cell>
          <cell r="Z146">
            <v>3.5410000000000004</v>
          </cell>
          <cell r="AA146">
            <v>3.1270000000000007</v>
          </cell>
          <cell r="AB146">
            <v>161</v>
          </cell>
          <cell r="AC146">
            <v>150</v>
          </cell>
          <cell r="AD146">
            <v>2.0539999999999998</v>
          </cell>
          <cell r="AE146">
            <v>1.8640000000000001</v>
          </cell>
          <cell r="AF146">
            <v>16.608622454032286</v>
          </cell>
          <cell r="AG146">
            <v>15.426940580567198</v>
          </cell>
          <cell r="AH146">
            <v>17139.404000000002</v>
          </cell>
          <cell r="AI146">
            <v>15269.856</v>
          </cell>
        </row>
        <row r="147">
          <cell r="A147" t="str">
            <v>Netherlands Antilles</v>
          </cell>
          <cell r="B147">
            <v>530</v>
          </cell>
          <cell r="C147" t="str">
            <v>-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  <cell r="P147" t="str">
            <v>-</v>
          </cell>
          <cell r="Q147" t="str">
            <v>-</v>
          </cell>
          <cell r="R147">
            <v>405.07799999999997</v>
          </cell>
          <cell r="S147">
            <v>464.904</v>
          </cell>
          <cell r="T147">
            <v>88.97</v>
          </cell>
          <cell r="U147">
            <v>86.075999999999993</v>
          </cell>
          <cell r="V147">
            <v>97.756</v>
          </cell>
          <cell r="W147">
            <v>96.58</v>
          </cell>
          <cell r="X147">
            <v>-12.214000000000002</v>
          </cell>
          <cell r="Y147">
            <v>7.8090000000000002</v>
          </cell>
          <cell r="Z147">
            <v>10.632999999999999</v>
          </cell>
          <cell r="AA147">
            <v>7.8090000000000002</v>
          </cell>
          <cell r="AB147">
            <v>-20.699000000000002</v>
          </cell>
          <cell r="AC147">
            <v>0</v>
          </cell>
          <cell r="AD147">
            <v>-22.847000000000001</v>
          </cell>
          <cell r="AE147">
            <v>0</v>
          </cell>
          <cell r="AF147">
            <v>-131.89957305805137</v>
          </cell>
          <cell r="AG147">
            <v>0</v>
          </cell>
          <cell r="AH147">
            <v>202.88400000000001</v>
          </cell>
          <cell r="AI147">
            <v>202.88400000000001</v>
          </cell>
        </row>
        <row r="148">
          <cell r="A148" t="str">
            <v>New Caledonia</v>
          </cell>
          <cell r="B148">
            <v>540</v>
          </cell>
          <cell r="C148" t="str">
            <v>--</v>
          </cell>
          <cell r="D148" t="str">
            <v>--</v>
          </cell>
          <cell r="E148" t="str">
            <v>-</v>
          </cell>
          <cell r="F148" t="str">
            <v>-</v>
          </cell>
          <cell r="G148" t="str">
            <v>--</v>
          </cell>
          <cell r="H148" t="str">
            <v>--</v>
          </cell>
          <cell r="I148" t="str">
            <v>--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  <cell r="P148" t="str">
            <v>-</v>
          </cell>
          <cell r="Q148" t="str">
            <v>-</v>
          </cell>
          <cell r="R148">
            <v>13945.501</v>
          </cell>
          <cell r="S148">
            <v>18605.921000000002</v>
          </cell>
          <cell r="T148">
            <v>98.884</v>
          </cell>
          <cell r="U148">
            <v>121.559</v>
          </cell>
          <cell r="V148">
            <v>94.203000000000003</v>
          </cell>
          <cell r="W148">
            <v>115.279</v>
          </cell>
          <cell r="X148">
            <v>21.748999999999999</v>
          </cell>
          <cell r="Y148">
            <v>19.059999999999999</v>
          </cell>
          <cell r="Z148">
            <v>16.515999999999998</v>
          </cell>
          <cell r="AA148">
            <v>14.332999999999998</v>
          </cell>
          <cell r="AB148">
            <v>5.343</v>
          </cell>
          <cell r="AC148">
            <v>5.343</v>
          </cell>
          <cell r="AD148">
            <v>5.2329999999999997</v>
          </cell>
          <cell r="AE148">
            <v>4.7270000000000003</v>
          </cell>
          <cell r="AF148">
            <v>24.407290667397564</v>
          </cell>
          <cell r="AG148">
            <v>24.577947467684805</v>
          </cell>
          <cell r="AH148">
            <v>382.11099999999999</v>
          </cell>
          <cell r="AI148">
            <v>326.86700000000002</v>
          </cell>
        </row>
        <row r="149">
          <cell r="A149" t="str">
            <v>New Zealand</v>
          </cell>
          <cell r="B149">
            <v>554</v>
          </cell>
          <cell r="C149">
            <v>1960</v>
          </cell>
          <cell r="D149">
            <v>1973</v>
          </cell>
          <cell r="E149">
            <v>1950</v>
          </cell>
          <cell r="F149" t="str">
            <v>-</v>
          </cell>
          <cell r="G149" t="str">
            <v>--</v>
          </cell>
          <cell r="H149">
            <v>2002</v>
          </cell>
          <cell r="I149">
            <v>2002</v>
          </cell>
          <cell r="J149" t="str">
            <v>Too low</v>
          </cell>
          <cell r="K149" t="str">
            <v>Satisfactory</v>
          </cell>
          <cell r="L149" t="str">
            <v>Raise</v>
          </cell>
          <cell r="M149" t="str">
            <v>Maintain</v>
          </cell>
          <cell r="N149" t="str">
            <v>Too high</v>
          </cell>
          <cell r="O149" t="str">
            <v>Satisfactory</v>
          </cell>
          <cell r="P149" t="str">
            <v>No intervention</v>
          </cell>
          <cell r="Q149" t="str">
            <v>No intervention</v>
          </cell>
          <cell r="R149">
            <v>10110.516</v>
          </cell>
          <cell r="S149">
            <v>12883.935000000001</v>
          </cell>
          <cell r="T149">
            <v>1802.23</v>
          </cell>
          <cell r="U149">
            <v>1979.644</v>
          </cell>
          <cell r="V149">
            <v>1855.5309999999999</v>
          </cell>
          <cell r="W149">
            <v>2048.7399999999998</v>
          </cell>
          <cell r="X149">
            <v>8.5839999999999996</v>
          </cell>
          <cell r="Y149">
            <v>10.714</v>
          </cell>
          <cell r="Z149">
            <v>7.5140000000000002</v>
          </cell>
          <cell r="AA149">
            <v>6.7149999999999999</v>
          </cell>
          <cell r="AB149">
            <v>20</v>
          </cell>
          <cell r="AC149">
            <v>78.45</v>
          </cell>
          <cell r="AD149">
            <v>1.07</v>
          </cell>
          <cell r="AE149">
            <v>3.9990000000000001</v>
          </cell>
          <cell r="AF149">
            <v>7.1385739984580683</v>
          </cell>
          <cell r="AG149">
            <v>28.596007129864876</v>
          </cell>
          <cell r="AH149">
            <v>4789.55</v>
          </cell>
          <cell r="AI149">
            <v>4484.7910000000002</v>
          </cell>
        </row>
        <row r="150">
          <cell r="A150" t="str">
            <v>Nicaragua</v>
          </cell>
          <cell r="B150">
            <v>558</v>
          </cell>
          <cell r="C150">
            <v>1980</v>
          </cell>
          <cell r="D150">
            <v>1980</v>
          </cell>
          <cell r="E150" t="str">
            <v>-</v>
          </cell>
          <cell r="F150" t="str">
            <v>-</v>
          </cell>
          <cell r="G150">
            <v>2005</v>
          </cell>
          <cell r="H150">
            <v>2004</v>
          </cell>
          <cell r="I150" t="str">
            <v>--</v>
          </cell>
          <cell r="J150" t="str">
            <v>Satisfactory</v>
          </cell>
          <cell r="K150" t="str">
            <v>Satisfactory</v>
          </cell>
          <cell r="L150" t="str">
            <v>No intervention</v>
          </cell>
          <cell r="M150" t="str">
            <v>No intervention</v>
          </cell>
          <cell r="N150" t="str">
            <v>Satisfactory</v>
          </cell>
          <cell r="O150" t="str">
            <v>Too high</v>
          </cell>
          <cell r="P150" t="str">
            <v>No intervention</v>
          </cell>
          <cell r="Q150" t="str">
            <v>No intervention</v>
          </cell>
          <cell r="R150">
            <v>10146.967000000001</v>
          </cell>
          <cell r="S150">
            <v>13518.416000000001</v>
          </cell>
          <cell r="T150">
            <v>2232.0590000000002</v>
          </cell>
          <cell r="U150">
            <v>2742.0459999999998</v>
          </cell>
          <cell r="V150">
            <v>2244.8330000000001</v>
          </cell>
          <cell r="W150">
            <v>2744.6390000000001</v>
          </cell>
          <cell r="X150">
            <v>20.422000000000004</v>
          </cell>
          <cell r="Y150">
            <v>20.221999999999998</v>
          </cell>
          <cell r="Z150">
            <v>26.993000000000002</v>
          </cell>
          <cell r="AA150">
            <v>24.050999999999998</v>
          </cell>
          <cell r="AB150">
            <v>-155</v>
          </cell>
          <cell r="AC150">
            <v>-100</v>
          </cell>
          <cell r="AD150">
            <v>-6.5709999999999997</v>
          </cell>
          <cell r="AE150">
            <v>-3.8290000000000002</v>
          </cell>
          <cell r="AF150">
            <v>-20.252436825463192</v>
          </cell>
          <cell r="AG150">
            <v>-13.168516184764817</v>
          </cell>
          <cell r="AH150">
            <v>9370.755000000001</v>
          </cell>
          <cell r="AI150">
            <v>10099.328000000001</v>
          </cell>
        </row>
        <row r="151">
          <cell r="A151" t="str">
            <v>Niger</v>
          </cell>
          <cell r="B151">
            <v>562</v>
          </cell>
          <cell r="C151">
            <v>1961</v>
          </cell>
          <cell r="D151">
            <v>1970</v>
          </cell>
          <cell r="E151" t="str">
            <v>-</v>
          </cell>
          <cell r="F151" t="str">
            <v>-</v>
          </cell>
          <cell r="G151" t="str">
            <v>--</v>
          </cell>
          <cell r="H151">
            <v>2004</v>
          </cell>
          <cell r="I151" t="str">
            <v>--</v>
          </cell>
          <cell r="J151" t="str">
            <v>Satisfactory</v>
          </cell>
          <cell r="K151" t="str">
            <v>Satisfactory</v>
          </cell>
          <cell r="L151" t="str">
            <v>No intervention</v>
          </cell>
          <cell r="M151" t="str">
            <v>Lower</v>
          </cell>
          <cell r="N151" t="str">
            <v>Satisfactory</v>
          </cell>
          <cell r="O151" t="str">
            <v>Satisfactory</v>
          </cell>
          <cell r="P151" t="str">
            <v>No intervention</v>
          </cell>
          <cell r="Q151" t="str">
            <v>No intervention</v>
          </cell>
          <cell r="R151">
            <v>377.78500000000003</v>
          </cell>
          <cell r="S151">
            <v>401.63</v>
          </cell>
          <cell r="T151">
            <v>5055.0150000000003</v>
          </cell>
          <cell r="U151">
            <v>7136.1090000000004</v>
          </cell>
          <cell r="V151">
            <v>4874.3410000000003</v>
          </cell>
          <cell r="W151">
            <v>6820.8680000000004</v>
          </cell>
          <cell r="X151">
            <v>34.14</v>
          </cell>
          <cell r="Y151">
            <v>33.795000000000002</v>
          </cell>
          <cell r="Z151">
            <v>34.249000000000002</v>
          </cell>
          <cell r="AA151">
            <v>33.950000000000003</v>
          </cell>
          <cell r="AB151">
            <v>-5.9420000000000002</v>
          </cell>
          <cell r="AC151">
            <v>-10</v>
          </cell>
          <cell r="AD151">
            <v>-0.109</v>
          </cell>
          <cell r="AE151">
            <v>-0.155</v>
          </cell>
          <cell r="AF151">
            <v>-0.19153469511428581</v>
          </cell>
          <cell r="AG151">
            <v>-0.28200081836637486</v>
          </cell>
          <cell r="AH151">
            <v>50156.38</v>
          </cell>
          <cell r="AI151">
            <v>50299.388999999996</v>
          </cell>
        </row>
        <row r="152">
          <cell r="A152" t="str">
            <v>Nigeria</v>
          </cell>
          <cell r="B152">
            <v>566</v>
          </cell>
          <cell r="C152">
            <v>1967</v>
          </cell>
          <cell r="D152">
            <v>1968</v>
          </cell>
          <cell r="E152">
            <v>1955</v>
          </cell>
          <cell r="F152" t="str">
            <v>-</v>
          </cell>
          <cell r="G152" t="str">
            <v>--</v>
          </cell>
          <cell r="H152">
            <v>2001</v>
          </cell>
          <cell r="I152">
            <v>2001</v>
          </cell>
          <cell r="J152" t="str">
            <v>Satisfactory</v>
          </cell>
          <cell r="K152" t="str">
            <v>Satisfactory</v>
          </cell>
          <cell r="L152" t="str">
            <v>Maintain</v>
          </cell>
          <cell r="M152" t="str">
            <v>Maintain</v>
          </cell>
          <cell r="N152" t="str">
            <v>Satisfactory</v>
          </cell>
          <cell r="O152" t="str">
            <v>Satisfactory</v>
          </cell>
          <cell r="P152" t="str">
            <v>No intervention</v>
          </cell>
          <cell r="Q152" t="str">
            <v>No intervention</v>
          </cell>
          <cell r="R152">
            <v>51.009</v>
          </cell>
          <cell r="S152">
            <v>61.963000000000001</v>
          </cell>
          <cell r="T152">
            <v>52236.322999999997</v>
          </cell>
          <cell r="U152">
            <v>66558.346000000005</v>
          </cell>
          <cell r="V152">
            <v>51677.383999999998</v>
          </cell>
          <cell r="W152">
            <v>64971.322999999997</v>
          </cell>
          <cell r="X152">
            <v>24.726999999999997</v>
          </cell>
          <cell r="Y152">
            <v>22.352</v>
          </cell>
          <cell r="Z152">
            <v>24.898999999999997</v>
          </cell>
          <cell r="AA152">
            <v>22.625</v>
          </cell>
          <cell r="AB152">
            <v>-95.028000000000006</v>
          </cell>
          <cell r="AC152">
            <v>-170</v>
          </cell>
          <cell r="AD152">
            <v>-0.17199999999999999</v>
          </cell>
          <cell r="AE152">
            <v>-0.27300000000000002</v>
          </cell>
          <cell r="AF152">
            <v>-0.39097387994302513</v>
          </cell>
          <cell r="AG152">
            <v>-0.64955978378218104</v>
          </cell>
          <cell r="AH152">
            <v>258108.43900000001</v>
          </cell>
          <cell r="AI152">
            <v>259911.245</v>
          </cell>
        </row>
        <row r="153">
          <cell r="A153" t="str">
            <v>Niue</v>
          </cell>
          <cell r="B153">
            <v>570</v>
          </cell>
          <cell r="C153" t="str">
            <v>-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Satisfactory</v>
          </cell>
          <cell r="K153" t="str">
            <v>Too low</v>
          </cell>
          <cell r="L153" t="str">
            <v>No intervention</v>
          </cell>
          <cell r="M153" t="str">
            <v>Raise</v>
          </cell>
          <cell r="N153" t="str">
            <v>Too high</v>
          </cell>
          <cell r="O153" t="str">
            <v>Too high</v>
          </cell>
          <cell r="P153" t="str">
            <v>Lower</v>
          </cell>
          <cell r="Q153" t="str">
            <v>Lower</v>
          </cell>
          <cell r="R153">
            <v>375.41200000000003</v>
          </cell>
          <cell r="S153">
            <v>395.93200000000002</v>
          </cell>
          <cell r="T153">
            <v>0.88300000000000001</v>
          </cell>
          <cell r="U153">
            <v>0.71499999999999997</v>
          </cell>
          <cell r="V153">
            <v>0.89600000000000002</v>
          </cell>
          <cell r="W153">
            <v>0.73</v>
          </cell>
          <cell r="X153">
            <v>-19.945999999999998</v>
          </cell>
          <cell r="Y153">
            <v>-21.603999999999996</v>
          </cell>
          <cell r="Z153">
            <v>14.4</v>
          </cell>
          <cell r="AA153">
            <v>12.046000000000003</v>
          </cell>
          <cell r="AB153">
            <v>-0.29099999999999998</v>
          </cell>
          <cell r="AC153">
            <v>-0.25700000000000001</v>
          </cell>
          <cell r="AD153">
            <v>-34.345999999999997</v>
          </cell>
          <cell r="AE153">
            <v>-33.65</v>
          </cell>
          <cell r="AF153">
            <v>-177.43902439024387</v>
          </cell>
          <cell r="AG153">
            <v>-191.79104477611938</v>
          </cell>
          <cell r="AH153">
            <v>1.823</v>
          </cell>
          <cell r="AI153">
            <v>1.823</v>
          </cell>
        </row>
        <row r="154">
          <cell r="A154" t="str">
            <v>Northern Mariana Islands</v>
          </cell>
          <cell r="B154">
            <v>580</v>
          </cell>
          <cell r="C154" t="str">
            <v>-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  <cell r="P154" t="str">
            <v>-</v>
          </cell>
          <cell r="Q154" t="str">
            <v>-</v>
          </cell>
          <cell r="R154">
            <v>2300.0129999999999</v>
          </cell>
          <cell r="S154">
            <v>3068.7420000000002</v>
          </cell>
          <cell r="T154">
            <v>28.788</v>
          </cell>
          <cell r="U154">
            <v>40.36</v>
          </cell>
          <cell r="V154">
            <v>28.343</v>
          </cell>
          <cell r="W154">
            <v>40.441000000000003</v>
          </cell>
          <cell r="X154">
            <v>39.728999999999999</v>
          </cell>
          <cell r="Y154">
            <v>29.414999999999999</v>
          </cell>
          <cell r="Z154">
            <v>16.081</v>
          </cell>
          <cell r="AA154">
            <v>13.472000000000001</v>
          </cell>
          <cell r="AB154">
            <v>7.5</v>
          </cell>
          <cell r="AC154">
            <v>6</v>
          </cell>
          <cell r="AD154">
            <v>23.648</v>
          </cell>
          <cell r="AE154">
            <v>15.943</v>
          </cell>
          <cell r="AF154">
            <v>121.5953307392996</v>
          </cell>
          <cell r="AG154">
            <v>93.428838368109624</v>
          </cell>
          <cell r="AH154">
            <v>130.47199999999998</v>
          </cell>
          <cell r="AI154">
            <v>96.711999999999989</v>
          </cell>
        </row>
        <row r="155">
          <cell r="A155" t="str">
            <v>Norway</v>
          </cell>
          <cell r="B155">
            <v>578</v>
          </cell>
          <cell r="C155">
            <v>1953</v>
          </cell>
          <cell r="D155">
            <v>1967</v>
          </cell>
          <cell r="E155">
            <v>1955</v>
          </cell>
          <cell r="F155">
            <v>1979</v>
          </cell>
          <cell r="G155" t="str">
            <v>--</v>
          </cell>
          <cell r="H155">
            <v>2003</v>
          </cell>
          <cell r="I155">
            <v>2003</v>
          </cell>
          <cell r="J155" t="str">
            <v>Satisfactory</v>
          </cell>
          <cell r="K155" t="str">
            <v>Satisfactory</v>
          </cell>
          <cell r="L155" t="str">
            <v>Lower</v>
          </cell>
          <cell r="M155" t="str">
            <v>Maintain</v>
          </cell>
          <cell r="N155" t="str">
            <v>Satisfactory</v>
          </cell>
          <cell r="O155" t="str">
            <v>Satisfactory</v>
          </cell>
          <cell r="P155" t="str">
            <v>No intervention</v>
          </cell>
          <cell r="Q155" t="str">
            <v>No intervention</v>
          </cell>
          <cell r="R155">
            <v>1124.598</v>
          </cell>
          <cell r="S155">
            <v>1244.663</v>
          </cell>
          <cell r="T155">
            <v>2155.5010000000002</v>
          </cell>
          <cell r="U155">
            <v>2294.7570000000001</v>
          </cell>
          <cell r="V155">
            <v>2203.683</v>
          </cell>
          <cell r="W155">
            <v>2325.518</v>
          </cell>
          <cell r="X155">
            <v>6.4550000000000001</v>
          </cell>
          <cell r="Y155">
            <v>5.1789999999999985</v>
          </cell>
          <cell r="Z155">
            <v>3.4129999999999985</v>
          </cell>
          <cell r="AA155">
            <v>2.6169999999999991</v>
          </cell>
          <cell r="AB155">
            <v>67.382000000000005</v>
          </cell>
          <cell r="AC155">
            <v>58.43</v>
          </cell>
          <cell r="AD155">
            <v>3.0419999999999998</v>
          </cell>
          <cell r="AE155">
            <v>2.5619999999999998</v>
          </cell>
          <cell r="AF155">
            <v>22.77673178135257</v>
          </cell>
          <cell r="AG155">
            <v>20.95722473691384</v>
          </cell>
          <cell r="AH155">
            <v>5434.89</v>
          </cell>
          <cell r="AI155">
            <v>4691.9880000000003</v>
          </cell>
        </row>
        <row r="156">
          <cell r="A156" t="str">
            <v>Occupied Palestinian Territory</v>
          </cell>
          <cell r="B156">
            <v>275</v>
          </cell>
          <cell r="C156" t="str">
            <v>-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  <cell r="P156" t="str">
            <v>-</v>
          </cell>
          <cell r="Q156" t="str">
            <v>-</v>
          </cell>
          <cell r="R156">
            <v>92523.256999999998</v>
          </cell>
          <cell r="S156">
            <v>107029.36</v>
          </cell>
          <cell r="T156">
            <v>1325.566</v>
          </cell>
          <cell r="U156">
            <v>1883.338</v>
          </cell>
          <cell r="V156">
            <v>1284.423</v>
          </cell>
          <cell r="W156">
            <v>1818.874</v>
          </cell>
          <cell r="X156">
            <v>37.504000000000005</v>
          </cell>
          <cell r="Y156">
            <v>32.231999999999999</v>
          </cell>
          <cell r="Z156">
            <v>36.770000000000003</v>
          </cell>
          <cell r="AA156">
            <v>34.567</v>
          </cell>
          <cell r="AB156">
            <v>10.574999999999999</v>
          </cell>
          <cell r="AC156">
            <v>-40</v>
          </cell>
          <cell r="AD156">
            <v>0.73399999999999999</v>
          </cell>
          <cell r="AE156">
            <v>-2.335</v>
          </cell>
          <cell r="AF156">
            <v>1.7558482615026738</v>
          </cell>
          <cell r="AG156">
            <v>-6.0175441499692361</v>
          </cell>
          <cell r="AH156">
            <v>10058.339</v>
          </cell>
          <cell r="AI156">
            <v>10203.541000000001</v>
          </cell>
        </row>
        <row r="157">
          <cell r="A157" t="str">
            <v>Oman</v>
          </cell>
          <cell r="B157">
            <v>512</v>
          </cell>
          <cell r="C157" t="str">
            <v>--</v>
          </cell>
          <cell r="D157" t="str">
            <v>--</v>
          </cell>
          <cell r="E157" t="str">
            <v>-</v>
          </cell>
          <cell r="F157" t="str">
            <v>-</v>
          </cell>
          <cell r="G157" t="str">
            <v>--</v>
          </cell>
          <cell r="H157">
            <v>2005</v>
          </cell>
          <cell r="I157">
            <v>2005</v>
          </cell>
          <cell r="J157" t="str">
            <v>Too high</v>
          </cell>
          <cell r="K157" t="str">
            <v>Too high</v>
          </cell>
          <cell r="L157" t="str">
            <v>Lower</v>
          </cell>
          <cell r="M157" t="str">
            <v>Lower</v>
          </cell>
          <cell r="N157" t="str">
            <v>Satisfactory</v>
          </cell>
          <cell r="O157" t="str">
            <v>Satisfactory</v>
          </cell>
          <cell r="P157" t="str">
            <v>Maintain</v>
          </cell>
          <cell r="Q157" t="str">
            <v>No intervention</v>
          </cell>
          <cell r="R157">
            <v>107.21299999999999</v>
          </cell>
          <cell r="S157">
            <v>110.48699999999999</v>
          </cell>
          <cell r="T157">
            <v>1284.6590000000001</v>
          </cell>
          <cell r="U157">
            <v>1442.85</v>
          </cell>
          <cell r="V157">
            <v>892.60500000000002</v>
          </cell>
          <cell r="W157">
            <v>1124.1310000000001</v>
          </cell>
          <cell r="X157">
            <v>22.923999999999999</v>
          </cell>
          <cell r="Y157">
            <v>9.9809999999999999</v>
          </cell>
          <cell r="Z157">
            <v>26.387999999999998</v>
          </cell>
          <cell r="AA157">
            <v>22.757999999999999</v>
          </cell>
          <cell r="AB157">
            <v>-40</v>
          </cell>
          <cell r="AC157">
            <v>-160</v>
          </cell>
          <cell r="AD157">
            <v>-3.464</v>
          </cell>
          <cell r="AE157">
            <v>-12.776999999999999</v>
          </cell>
          <cell r="AF157">
            <v>-11.745498537685432</v>
          </cell>
          <cell r="AG157">
            <v>-49.931967694016905</v>
          </cell>
          <cell r="AH157">
            <v>4957.7270000000008</v>
          </cell>
          <cell r="AI157">
            <v>4882.6279999999997</v>
          </cell>
        </row>
        <row r="158">
          <cell r="A158" t="str">
            <v>Pakistan</v>
          </cell>
          <cell r="B158">
            <v>586</v>
          </cell>
          <cell r="C158" t="str">
            <v>--</v>
          </cell>
          <cell r="D158" t="str">
            <v>--</v>
          </cell>
          <cell r="E158" t="str">
            <v>-</v>
          </cell>
          <cell r="F158" t="str">
            <v>-</v>
          </cell>
          <cell r="G158" t="str">
            <v>--</v>
          </cell>
          <cell r="H158" t="str">
            <v>--</v>
          </cell>
          <cell r="I158" t="str">
            <v>--</v>
          </cell>
          <cell r="J158" t="str">
            <v>Satisfactory</v>
          </cell>
          <cell r="K158" t="str">
            <v>Too high</v>
          </cell>
          <cell r="L158" t="str">
            <v>No intervention</v>
          </cell>
          <cell r="M158" t="str">
            <v>Lower</v>
          </cell>
          <cell r="N158" t="str">
            <v>Too low</v>
          </cell>
          <cell r="O158" t="str">
            <v>Satisfactory</v>
          </cell>
          <cell r="P158" t="str">
            <v>Raise</v>
          </cell>
          <cell r="Q158" t="str">
            <v>Raise</v>
          </cell>
          <cell r="R158">
            <v>31.6</v>
          </cell>
          <cell r="S158">
            <v>35.253</v>
          </cell>
          <cell r="T158">
            <v>64961.906999999999</v>
          </cell>
          <cell r="U158">
            <v>81282.570000000007</v>
          </cell>
          <cell r="V158">
            <v>61113.16</v>
          </cell>
          <cell r="W158">
            <v>76652.505000000005</v>
          </cell>
          <cell r="X158">
            <v>24.669</v>
          </cell>
          <cell r="Y158">
            <v>20.343</v>
          </cell>
          <cell r="Z158">
            <v>24.728999999999999</v>
          </cell>
          <cell r="AA158">
            <v>22.751999999999999</v>
          </cell>
          <cell r="AB158">
            <v>-40.5</v>
          </cell>
          <cell r="AC158">
            <v>-1810</v>
          </cell>
          <cell r="AD158">
            <v>-0.06</v>
          </cell>
          <cell r="AE158">
            <v>-2.4089999999999998</v>
          </cell>
          <cell r="AF158">
            <v>-0.17786720618840857</v>
          </cell>
          <cell r="AG158">
            <v>-7.7561779886010749</v>
          </cell>
          <cell r="AH158">
            <v>304700.397</v>
          </cell>
          <cell r="AI158">
            <v>315504.37599999999</v>
          </cell>
        </row>
        <row r="159">
          <cell r="A159" t="str">
            <v>Palau</v>
          </cell>
          <cell r="B159">
            <v>585</v>
          </cell>
          <cell r="C159" t="str">
            <v>--</v>
          </cell>
          <cell r="D159" t="str">
            <v>--</v>
          </cell>
          <cell r="E159" t="str">
            <v>-</v>
          </cell>
          <cell r="F159" t="str">
            <v>-</v>
          </cell>
          <cell r="G159" t="str">
            <v>--</v>
          </cell>
          <cell r="H159" t="str">
            <v>--</v>
          </cell>
          <cell r="I159" t="str">
            <v>--</v>
          </cell>
          <cell r="J159" t="str">
            <v>Too high</v>
          </cell>
          <cell r="K159" t="str">
            <v>Too high</v>
          </cell>
          <cell r="L159" t="str">
            <v>No intervention</v>
          </cell>
          <cell r="M159" t="str">
            <v>No intervention</v>
          </cell>
          <cell r="N159" t="str">
            <v>Too high</v>
          </cell>
          <cell r="O159" t="str">
            <v>Too high</v>
          </cell>
          <cell r="P159" t="str">
            <v>No intervention</v>
          </cell>
          <cell r="Q159" t="str">
            <v>Lower</v>
          </cell>
          <cell r="R159">
            <v>10.233000000000001</v>
          </cell>
          <cell r="S159">
            <v>4.5</v>
          </cell>
          <cell r="T159">
            <v>9.4489999999999998</v>
          </cell>
          <cell r="U159">
            <v>10.866</v>
          </cell>
          <cell r="V159">
            <v>7.9489999999999998</v>
          </cell>
          <cell r="W159">
            <v>9.0830000000000002</v>
          </cell>
          <cell r="X159">
            <v>20.669</v>
          </cell>
          <cell r="Y159">
            <v>6.6769999999999996</v>
          </cell>
          <cell r="Z159">
            <v>6.6280000000000001</v>
          </cell>
          <cell r="AA159">
            <v>6.6769999999999996</v>
          </cell>
          <cell r="AB159">
            <v>1.288</v>
          </cell>
          <cell r="AC159">
            <v>0</v>
          </cell>
          <cell r="AD159">
            <v>14.041</v>
          </cell>
          <cell r="AE159">
            <v>0</v>
          </cell>
          <cell r="AF159">
            <v>95.548961424332347</v>
          </cell>
          <cell r="AG159">
            <v>0</v>
          </cell>
          <cell r="AH159">
            <v>21.286000000000001</v>
          </cell>
          <cell r="AI159">
            <v>21.286000000000001</v>
          </cell>
        </row>
        <row r="160">
          <cell r="A160" t="str">
            <v>Panama</v>
          </cell>
          <cell r="B160">
            <v>591</v>
          </cell>
          <cell r="C160">
            <v>1978</v>
          </cell>
          <cell r="D160">
            <v>1978</v>
          </cell>
          <cell r="E160" t="str">
            <v>-</v>
          </cell>
          <cell r="F160" t="str">
            <v>-</v>
          </cell>
          <cell r="G160" t="str">
            <v>--</v>
          </cell>
          <cell r="H160">
            <v>2004</v>
          </cell>
          <cell r="I160">
            <v>2004</v>
          </cell>
          <cell r="J160" t="str">
            <v>Satisfactory</v>
          </cell>
          <cell r="K160" t="str">
            <v>Satisfactory</v>
          </cell>
          <cell r="L160" t="str">
            <v>Maintain</v>
          </cell>
          <cell r="M160" t="str">
            <v>Lower</v>
          </cell>
          <cell r="N160" t="str">
            <v>Satisfactory</v>
          </cell>
          <cell r="O160" t="str">
            <v>Satisfactory</v>
          </cell>
          <cell r="P160" t="str">
            <v>No intervention</v>
          </cell>
          <cell r="Q160" t="str">
            <v>No intervention</v>
          </cell>
          <cell r="R160">
            <v>27003.743999999999</v>
          </cell>
          <cell r="S160">
            <v>31478.46</v>
          </cell>
          <cell r="T160">
            <v>1349.1479999999999</v>
          </cell>
          <cell r="U160">
            <v>1630.107</v>
          </cell>
          <cell r="V160">
            <v>1321.2639999999999</v>
          </cell>
          <cell r="W160">
            <v>1601.395</v>
          </cell>
          <cell r="X160">
            <v>19.893999999999998</v>
          </cell>
          <cell r="Y160">
            <v>18.219000000000001</v>
          </cell>
          <cell r="Z160">
            <v>19.110999999999997</v>
          </cell>
          <cell r="AA160">
            <v>17.701000000000001</v>
          </cell>
          <cell r="AB160">
            <v>11</v>
          </cell>
          <cell r="AC160">
            <v>8</v>
          </cell>
          <cell r="AD160">
            <v>0.78300000000000003</v>
          </cell>
          <cell r="AE160">
            <v>0.51800000000000002</v>
          </cell>
          <cell r="AF160">
            <v>3.2451440843973471</v>
          </cell>
          <cell r="AG160">
            <v>2.28219969817909</v>
          </cell>
          <cell r="AH160">
            <v>5092.6849999999995</v>
          </cell>
          <cell r="AI160">
            <v>4976.6720000000005</v>
          </cell>
        </row>
        <row r="161">
          <cell r="A161" t="str">
            <v>Papua New Guinea</v>
          </cell>
          <cell r="B161">
            <v>598</v>
          </cell>
          <cell r="C161">
            <v>1986</v>
          </cell>
          <cell r="D161">
            <v>1986</v>
          </cell>
          <cell r="E161" t="str">
            <v>-</v>
          </cell>
          <cell r="F161" t="str">
            <v>-</v>
          </cell>
          <cell r="G161" t="str">
            <v>--</v>
          </cell>
          <cell r="H161" t="str">
            <v>--</v>
          </cell>
          <cell r="I161" t="str">
            <v>--</v>
          </cell>
          <cell r="J161" t="str">
            <v>Satisfactory</v>
          </cell>
          <cell r="K161" t="str">
            <v>Satisfactory</v>
          </cell>
          <cell r="L161" t="str">
            <v>Maintain</v>
          </cell>
          <cell r="M161" t="str">
            <v>Maintain</v>
          </cell>
          <cell r="N161" t="str">
            <v>Satisfactory</v>
          </cell>
          <cell r="O161" t="str">
            <v>Satisfactory</v>
          </cell>
          <cell r="P161" t="str">
            <v>Maintain</v>
          </cell>
          <cell r="Q161" t="str">
            <v>No intervention</v>
          </cell>
          <cell r="R161">
            <v>15853.741</v>
          </cell>
          <cell r="S161">
            <v>19792.294999999998</v>
          </cell>
          <cell r="T161">
            <v>2435.3789999999999</v>
          </cell>
          <cell r="U161">
            <v>3034.7440000000001</v>
          </cell>
          <cell r="V161">
            <v>2251.857</v>
          </cell>
          <cell r="W161">
            <v>2852.3939999999998</v>
          </cell>
          <cell r="X161">
            <v>24.499000000000002</v>
          </cell>
          <cell r="Y161">
            <v>21.036000000000001</v>
          </cell>
          <cell r="Z161">
            <v>24.499000000000002</v>
          </cell>
          <cell r="AA161">
            <v>21.036000000000001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10618.960999999999</v>
          </cell>
          <cell r="AI161">
            <v>10618.960999999999</v>
          </cell>
        </row>
        <row r="162">
          <cell r="A162" t="str">
            <v>Paraguay</v>
          </cell>
          <cell r="B162">
            <v>600</v>
          </cell>
          <cell r="C162">
            <v>1970</v>
          </cell>
          <cell r="D162">
            <v>1970</v>
          </cell>
          <cell r="E162" t="str">
            <v>-</v>
          </cell>
          <cell r="F162" t="str">
            <v>-</v>
          </cell>
          <cell r="G162" t="str">
            <v>--</v>
          </cell>
          <cell r="H162">
            <v>2004</v>
          </cell>
          <cell r="I162" t="str">
            <v>--</v>
          </cell>
          <cell r="J162" t="str">
            <v>Too low</v>
          </cell>
          <cell r="K162" t="str">
            <v>Satisfactory</v>
          </cell>
          <cell r="L162" t="str">
            <v>Raise</v>
          </cell>
          <cell r="M162" t="str">
            <v>Maintain</v>
          </cell>
          <cell r="N162" t="str">
            <v>Satisfactory</v>
          </cell>
          <cell r="O162" t="str">
            <v>Satisfactory</v>
          </cell>
          <cell r="P162" t="str">
            <v>No intervention</v>
          </cell>
          <cell r="Q162" t="str">
            <v>No intervention</v>
          </cell>
          <cell r="R162">
            <v>1651.547</v>
          </cell>
          <cell r="S162">
            <v>2031.252</v>
          </cell>
          <cell r="T162">
            <v>2432.9169999999999</v>
          </cell>
          <cell r="U162">
            <v>3102.1379999999999</v>
          </cell>
          <cell r="V162">
            <v>2395.5889999999999</v>
          </cell>
          <cell r="W162">
            <v>3056.1210000000001</v>
          </cell>
          <cell r="X162">
            <v>24.920999999999999</v>
          </cell>
          <cell r="Y162">
            <v>23.67</v>
          </cell>
          <cell r="Z162">
            <v>25.891999999999999</v>
          </cell>
          <cell r="AA162">
            <v>24.53</v>
          </cell>
          <cell r="AB162">
            <v>-25</v>
          </cell>
          <cell r="AC162">
            <v>-25</v>
          </cell>
          <cell r="AD162">
            <v>-0.97099999999999997</v>
          </cell>
          <cell r="AE162">
            <v>-0.86</v>
          </cell>
          <cell r="AF162">
            <v>-3.1033926288218279</v>
          </cell>
          <cell r="AG162">
            <v>-2.9073824254547147</v>
          </cell>
          <cell r="AH162">
            <v>12094.887000000001</v>
          </cell>
          <cell r="AI162">
            <v>12375.038</v>
          </cell>
        </row>
        <row r="163">
          <cell r="A163" t="str">
            <v>Peru</v>
          </cell>
          <cell r="B163">
            <v>604</v>
          </cell>
          <cell r="C163">
            <v>1964</v>
          </cell>
          <cell r="D163">
            <v>1983</v>
          </cell>
          <cell r="E163" t="str">
            <v>-</v>
          </cell>
          <cell r="F163" t="str">
            <v>-</v>
          </cell>
          <cell r="G163">
            <v>2005</v>
          </cell>
          <cell r="H163">
            <v>2002</v>
          </cell>
          <cell r="I163">
            <v>2002</v>
          </cell>
          <cell r="J163" t="str">
            <v>Satisfactory</v>
          </cell>
          <cell r="K163" t="str">
            <v>Satisfactory</v>
          </cell>
          <cell r="L163" t="str">
            <v>No intervention</v>
          </cell>
          <cell r="M163" t="str">
            <v>Maintain</v>
          </cell>
          <cell r="N163" t="str">
            <v>Too high</v>
          </cell>
          <cell r="O163" t="str">
            <v>Satisfactory</v>
          </cell>
          <cell r="P163" t="str">
            <v>No intervention</v>
          </cell>
          <cell r="Q163" t="str">
            <v>No intervention</v>
          </cell>
          <cell r="R163">
            <v>10.762</v>
          </cell>
          <cell r="S163">
            <v>13.635</v>
          </cell>
          <cell r="T163">
            <v>11995.307000000001</v>
          </cell>
          <cell r="U163">
            <v>14059.816000000001</v>
          </cell>
          <cell r="V163">
            <v>11841.556</v>
          </cell>
          <cell r="W163">
            <v>13908.428</v>
          </cell>
          <cell r="X163">
            <v>16.994</v>
          </cell>
          <cell r="Y163">
            <v>14.956000000000003</v>
          </cell>
          <cell r="Z163">
            <v>19.806000000000001</v>
          </cell>
          <cell r="AA163">
            <v>17.182000000000002</v>
          </cell>
          <cell r="AB163">
            <v>-350</v>
          </cell>
          <cell r="AC163">
            <v>-300</v>
          </cell>
          <cell r="AD163">
            <v>-2.8119999999999998</v>
          </cell>
          <cell r="AE163">
            <v>-2.226</v>
          </cell>
          <cell r="AF163">
            <v>-10.735527818359778</v>
          </cell>
          <cell r="AG163">
            <v>-9.5598912849163078</v>
          </cell>
          <cell r="AH163">
            <v>42551.872000000003</v>
          </cell>
          <cell r="AI163">
            <v>44032.516000000003</v>
          </cell>
        </row>
        <row r="164">
          <cell r="A164" t="str">
            <v>Philippines</v>
          </cell>
          <cell r="B164">
            <v>608</v>
          </cell>
          <cell r="C164">
            <v>1981</v>
          </cell>
          <cell r="D164">
            <v>1981</v>
          </cell>
          <cell r="E164" t="str">
            <v>-</v>
          </cell>
          <cell r="F164" t="str">
            <v>-</v>
          </cell>
          <cell r="G164">
            <v>1995</v>
          </cell>
          <cell r="H164">
            <v>2002</v>
          </cell>
          <cell r="I164">
            <v>2002</v>
          </cell>
          <cell r="J164" t="str">
            <v>Satisfactory</v>
          </cell>
          <cell r="K164" t="str">
            <v>Satisfactory</v>
          </cell>
          <cell r="L164" t="str">
            <v>Lower</v>
          </cell>
          <cell r="M164" t="str">
            <v>Maintain</v>
          </cell>
          <cell r="N164" t="str">
            <v>Satisfactory</v>
          </cell>
          <cell r="O164" t="str">
            <v>Satisfactory</v>
          </cell>
          <cell r="P164" t="str">
            <v>No intervention</v>
          </cell>
          <cell r="Q164" t="str">
            <v>Maintain</v>
          </cell>
          <cell r="R164">
            <v>15458.9</v>
          </cell>
          <cell r="S164">
            <v>16299.172999999999</v>
          </cell>
          <cell r="T164">
            <v>34443.071000000004</v>
          </cell>
          <cell r="U164">
            <v>41813.673000000003</v>
          </cell>
          <cell r="V164">
            <v>33952.764000000003</v>
          </cell>
          <cell r="W164">
            <v>41240.805</v>
          </cell>
          <cell r="X164">
            <v>20.45</v>
          </cell>
          <cell r="Y164">
            <v>18.356000000000002</v>
          </cell>
          <cell r="Z164">
            <v>22.947000000000003</v>
          </cell>
          <cell r="AA164">
            <v>20.623000000000001</v>
          </cell>
          <cell r="AB164">
            <v>-900</v>
          </cell>
          <cell r="AC164">
            <v>-900</v>
          </cell>
          <cell r="AD164">
            <v>-2.4969999999999999</v>
          </cell>
          <cell r="AE164">
            <v>-2.2669999999999999</v>
          </cell>
          <cell r="AF164">
            <v>-8.7824405055524046</v>
          </cell>
          <cell r="AG164">
            <v>-8.8273996206964469</v>
          </cell>
          <cell r="AH164">
            <v>127068.217</v>
          </cell>
          <cell r="AI164">
            <v>137837.11300000001</v>
          </cell>
        </row>
        <row r="165">
          <cell r="A165" t="str">
            <v>Pitcairn</v>
          </cell>
          <cell r="B165">
            <v>612</v>
          </cell>
          <cell r="C165" t="str">
            <v>-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 t="str">
            <v>-</v>
          </cell>
          <cell r="M165" t="str">
            <v>-</v>
          </cell>
          <cell r="N165" t="str">
            <v>-</v>
          </cell>
          <cell r="O165" t="str">
            <v>-</v>
          </cell>
          <cell r="P165" t="str">
            <v>-</v>
          </cell>
          <cell r="Q165" t="str">
            <v>-</v>
          </cell>
          <cell r="R165">
            <v>186.726</v>
          </cell>
          <cell r="S165">
            <v>182.65600000000001</v>
          </cell>
          <cell r="T165">
            <v>3.3000000000000002E-2</v>
          </cell>
          <cell r="U165">
            <v>3.4000000000000002E-2</v>
          </cell>
          <cell r="V165">
            <v>3.4000000000000002E-2</v>
          </cell>
          <cell r="W165">
            <v>3.3000000000000002E-2</v>
          </cell>
          <cell r="X165">
            <v>2.9630000000000001</v>
          </cell>
          <cell r="Y165">
            <v>-2.963000000000001</v>
          </cell>
          <cell r="Z165">
            <v>2.9630000000000001</v>
          </cell>
          <cell r="AA165">
            <v>-2.963000000000001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5.7999999999999996E-2</v>
          </cell>
          <cell r="AI165">
            <v>5.7999999999999996E-2</v>
          </cell>
        </row>
        <row r="166">
          <cell r="A166" t="str">
            <v>Poland</v>
          </cell>
          <cell r="B166">
            <v>616</v>
          </cell>
          <cell r="C166">
            <v>1991</v>
          </cell>
          <cell r="D166">
            <v>1991</v>
          </cell>
          <cell r="E166" t="str">
            <v>-</v>
          </cell>
          <cell r="F166" t="str">
            <v>-</v>
          </cell>
          <cell r="G166" t="str">
            <v>--</v>
          </cell>
          <cell r="H166">
            <v>2003</v>
          </cell>
          <cell r="I166">
            <v>2003</v>
          </cell>
          <cell r="J166" t="str">
            <v>Satisfactory</v>
          </cell>
          <cell r="K166" t="str">
            <v>Satisfactory</v>
          </cell>
          <cell r="L166" t="str">
            <v>Maintain</v>
          </cell>
          <cell r="M166" t="str">
            <v>Maintain</v>
          </cell>
          <cell r="N166" t="str">
            <v>Too high</v>
          </cell>
          <cell r="O166" t="str">
            <v>Satisfactory</v>
          </cell>
          <cell r="P166" t="str">
            <v>No intervention</v>
          </cell>
          <cell r="Q166" t="str">
            <v>No intervention</v>
          </cell>
          <cell r="R166">
            <v>193.08699999999999</v>
          </cell>
          <cell r="S166">
            <v>236.83799999999999</v>
          </cell>
          <cell r="T166">
            <v>18782.035</v>
          </cell>
          <cell r="U166">
            <v>18685.071</v>
          </cell>
          <cell r="V166">
            <v>19812.963</v>
          </cell>
          <cell r="W166">
            <v>19844.491000000002</v>
          </cell>
          <cell r="X166">
            <v>0.28099999999999969</v>
          </cell>
          <cell r="Y166">
            <v>-0.62099999999999955</v>
          </cell>
          <cell r="Z166">
            <v>0.64799999999999969</v>
          </cell>
          <cell r="AA166">
            <v>-0.20599999999999952</v>
          </cell>
          <cell r="AB166">
            <v>-70.778999999999996</v>
          </cell>
          <cell r="AC166">
            <v>-80</v>
          </cell>
          <cell r="AD166">
            <v>-0.36699999999999999</v>
          </cell>
          <cell r="AE166">
            <v>-0.41499999999999998</v>
          </cell>
          <cell r="AF166">
            <v>-3.4623354413537242</v>
          </cell>
          <cell r="AG166">
            <v>-4.3693140886894302</v>
          </cell>
          <cell r="AH166">
            <v>31916.11</v>
          </cell>
          <cell r="AI166">
            <v>32560.03</v>
          </cell>
        </row>
        <row r="167">
          <cell r="A167" t="str">
            <v>Portugal</v>
          </cell>
          <cell r="B167">
            <v>620</v>
          </cell>
          <cell r="C167">
            <v>1960</v>
          </cell>
          <cell r="D167">
            <v>1976</v>
          </cell>
          <cell r="E167">
            <v>1978</v>
          </cell>
          <cell r="F167">
            <v>1978</v>
          </cell>
          <cell r="G167" t="str">
            <v>--</v>
          </cell>
          <cell r="H167">
            <v>2004</v>
          </cell>
          <cell r="I167">
            <v>2004</v>
          </cell>
          <cell r="J167" t="str">
            <v>Satisfactory</v>
          </cell>
          <cell r="K167" t="str">
            <v>Satisfactory</v>
          </cell>
          <cell r="L167" t="str">
            <v>Lower</v>
          </cell>
          <cell r="M167" t="str">
            <v>Maintain</v>
          </cell>
          <cell r="N167" t="str">
            <v>Satisfactory</v>
          </cell>
          <cell r="O167" t="str">
            <v>Satisfactory</v>
          </cell>
          <cell r="P167" t="str">
            <v>No intervention</v>
          </cell>
          <cell r="Q167" t="str">
            <v>Maintain</v>
          </cell>
          <cell r="R167">
            <v>3657.761</v>
          </cell>
          <cell r="S167">
            <v>4028.384</v>
          </cell>
          <cell r="T167">
            <v>4833.5590000000002</v>
          </cell>
          <cell r="U167">
            <v>5072.3090000000002</v>
          </cell>
          <cell r="V167">
            <v>5196.8270000000002</v>
          </cell>
          <cell r="W167">
            <v>5422.1930000000002</v>
          </cell>
          <cell r="X167">
            <v>3.8450000000000002</v>
          </cell>
          <cell r="Y167">
            <v>5.2009999999999996</v>
          </cell>
          <cell r="Z167">
            <v>0.38899999999999935</v>
          </cell>
          <cell r="AA167">
            <v>0.375</v>
          </cell>
          <cell r="AB167">
            <v>174.999</v>
          </cell>
          <cell r="AC167">
            <v>250</v>
          </cell>
          <cell r="AD167">
            <v>3.456</v>
          </cell>
          <cell r="AE167">
            <v>4.8259999999999996</v>
          </cell>
          <cell r="AF167">
            <v>30.975247980402287</v>
          </cell>
          <cell r="AG167">
            <v>44.255698806335289</v>
          </cell>
          <cell r="AH167">
            <v>10722.573</v>
          </cell>
          <cell r="AI167">
            <v>9194.7150000000001</v>
          </cell>
        </row>
        <row r="168">
          <cell r="A168" t="str">
            <v>Puerto Rico</v>
          </cell>
          <cell r="B168">
            <v>630</v>
          </cell>
          <cell r="C168" t="str">
            <v>-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  <cell r="P168" t="str">
            <v>-</v>
          </cell>
          <cell r="Q168" t="str">
            <v>-</v>
          </cell>
          <cell r="R168">
            <v>4476.8919999999998</v>
          </cell>
          <cell r="S168">
            <v>5486.6849999999995</v>
          </cell>
          <cell r="T168">
            <v>1784.348</v>
          </cell>
          <cell r="U168">
            <v>1897.71</v>
          </cell>
          <cell r="V168">
            <v>1912.105</v>
          </cell>
          <cell r="W168">
            <v>2056.8739999999998</v>
          </cell>
          <cell r="X168">
            <v>7.3539999999999992</v>
          </cell>
          <cell r="Y168">
            <v>6.1459999999999999</v>
          </cell>
          <cell r="Z168">
            <v>7.4289999999999994</v>
          </cell>
          <cell r="AA168">
            <v>6.3</v>
          </cell>
          <cell r="AB168">
            <v>-1.4159999999999999</v>
          </cell>
          <cell r="AC168">
            <v>-3</v>
          </cell>
          <cell r="AD168">
            <v>-7.4999999999999997E-2</v>
          </cell>
          <cell r="AE168">
            <v>-0.154</v>
          </cell>
          <cell r="AF168">
            <v>-0.48982133282598544</v>
          </cell>
          <cell r="AG168">
            <v>-1.071065174315857</v>
          </cell>
          <cell r="AH168">
            <v>4404.5749999999998</v>
          </cell>
          <cell r="AI168">
            <v>4441.7049999999999</v>
          </cell>
        </row>
        <row r="169">
          <cell r="A169" t="str">
            <v>Qatar</v>
          </cell>
          <cell r="B169">
            <v>634</v>
          </cell>
          <cell r="C169" t="str">
            <v>--</v>
          </cell>
          <cell r="D169" t="str">
            <v>--</v>
          </cell>
          <cell r="E169" t="str">
            <v>-</v>
          </cell>
          <cell r="F169" t="str">
            <v>-</v>
          </cell>
          <cell r="G169" t="str">
            <v>--</v>
          </cell>
          <cell r="H169" t="str">
            <v>--</v>
          </cell>
          <cell r="I169" t="str">
            <v>--</v>
          </cell>
          <cell r="J169" t="str">
            <v>Satisfactory</v>
          </cell>
          <cell r="K169" t="str">
            <v>Too high</v>
          </cell>
          <cell r="L169" t="str">
            <v>Maintain</v>
          </cell>
          <cell r="M169" t="str">
            <v>Lower</v>
          </cell>
          <cell r="N169" t="str">
            <v>Satisfactory</v>
          </cell>
          <cell r="O169" t="str">
            <v>Satisfactory</v>
          </cell>
          <cell r="P169" t="str">
            <v>Maintain</v>
          </cell>
          <cell r="Q169" t="str">
            <v>No intervention</v>
          </cell>
          <cell r="R169">
            <v>9929.3559999999998</v>
          </cell>
          <cell r="S169">
            <v>13956.977000000001</v>
          </cell>
          <cell r="T169">
            <v>346.28</v>
          </cell>
          <cell r="U169">
            <v>547.46699999999998</v>
          </cell>
          <cell r="V169">
            <v>179.45599999999999</v>
          </cell>
          <cell r="W169">
            <v>265.375</v>
          </cell>
          <cell r="X169">
            <v>28.48</v>
          </cell>
          <cell r="Y169">
            <v>58.204000000000001</v>
          </cell>
          <cell r="Z169">
            <v>17.88</v>
          </cell>
          <cell r="AA169">
            <v>15.926000000000002</v>
          </cell>
          <cell r="AB169">
            <v>30</v>
          </cell>
          <cell r="AC169">
            <v>150</v>
          </cell>
          <cell r="AD169">
            <v>10.6</v>
          </cell>
          <cell r="AE169">
            <v>42.277999999999999</v>
          </cell>
          <cell r="AF169">
            <v>49.975012493753127</v>
          </cell>
          <cell r="AG169">
            <v>221.42509189141316</v>
          </cell>
          <cell r="AH169">
            <v>1329.84</v>
          </cell>
          <cell r="AI169">
            <v>1025.768</v>
          </cell>
        </row>
        <row r="170">
          <cell r="A170" t="str">
            <v>Republic of Korea</v>
          </cell>
          <cell r="B170">
            <v>410</v>
          </cell>
          <cell r="C170">
            <v>1992</v>
          </cell>
          <cell r="D170">
            <v>1992</v>
          </cell>
          <cell r="E170" t="str">
            <v>-</v>
          </cell>
          <cell r="F170" t="str">
            <v>-</v>
          </cell>
          <cell r="G170" t="str">
            <v>--</v>
          </cell>
          <cell r="H170" t="str">
            <v>--</v>
          </cell>
          <cell r="I170" t="str">
            <v>--</v>
          </cell>
          <cell r="J170" t="str">
            <v>Satisfactory</v>
          </cell>
          <cell r="K170" t="str">
            <v>Satisfactory</v>
          </cell>
          <cell r="L170" t="str">
            <v>Lower</v>
          </cell>
          <cell r="M170" t="str">
            <v>Raise</v>
          </cell>
          <cell r="N170" t="str">
            <v>Too low</v>
          </cell>
          <cell r="O170" t="str">
            <v>Too high</v>
          </cell>
          <cell r="P170" t="str">
            <v>Raise</v>
          </cell>
          <cell r="Q170" t="str">
            <v>No intervention</v>
          </cell>
          <cell r="R170">
            <v>103913.70699999999</v>
          </cell>
          <cell r="S170">
            <v>131529.66899999999</v>
          </cell>
          <cell r="T170">
            <v>22668.025000000001</v>
          </cell>
          <cell r="U170">
            <v>23972.705999999998</v>
          </cell>
          <cell r="V170">
            <v>22338.581999999999</v>
          </cell>
          <cell r="W170">
            <v>23844.23</v>
          </cell>
          <cell r="X170">
            <v>7.7249999999999996</v>
          </cell>
          <cell r="Y170">
            <v>4.3880000000000008</v>
          </cell>
          <cell r="Z170">
            <v>8.0739999999999998</v>
          </cell>
          <cell r="AA170">
            <v>4.7260000000000009</v>
          </cell>
          <cell r="AB170">
            <v>-80</v>
          </cell>
          <cell r="AC170">
            <v>-80</v>
          </cell>
          <cell r="AD170">
            <v>-0.34899999999999998</v>
          </cell>
          <cell r="AE170">
            <v>-0.33800000000000002</v>
          </cell>
          <cell r="AF170">
            <v>-2.5762555542459586</v>
          </cell>
          <cell r="AG170">
            <v>-3.2963252154457559</v>
          </cell>
          <cell r="AH170">
            <v>44628.587</v>
          </cell>
          <cell r="AI170">
            <v>44943.614999999998</v>
          </cell>
        </row>
        <row r="171">
          <cell r="A171" t="str">
            <v>Republic of Moldova</v>
          </cell>
          <cell r="B171">
            <v>498</v>
          </cell>
          <cell r="C171">
            <v>2002</v>
          </cell>
          <cell r="D171">
            <v>2002</v>
          </cell>
          <cell r="E171" t="str">
            <v>-</v>
          </cell>
          <cell r="F171" t="str">
            <v>-</v>
          </cell>
          <cell r="G171" t="str">
            <v>--</v>
          </cell>
          <cell r="H171">
            <v>2005</v>
          </cell>
          <cell r="I171">
            <v>2005</v>
          </cell>
          <cell r="J171" t="str">
            <v>Satisfactory</v>
          </cell>
          <cell r="K171" t="str">
            <v>Satisfactory</v>
          </cell>
          <cell r="L171" t="str">
            <v>No intervention</v>
          </cell>
          <cell r="M171" t="str">
            <v>Maintain</v>
          </cell>
          <cell r="N171" t="str">
            <v>Too high</v>
          </cell>
          <cell r="O171" t="str">
            <v>Too high</v>
          </cell>
          <cell r="P171" t="str">
            <v>Lower</v>
          </cell>
          <cell r="Q171" t="str">
            <v>No intervention</v>
          </cell>
          <cell r="R171">
            <v>1.7789999999999999</v>
          </cell>
          <cell r="S171">
            <v>1.4450000000000001</v>
          </cell>
          <cell r="T171">
            <v>2072.6</v>
          </cell>
          <cell r="U171">
            <v>2010.481</v>
          </cell>
          <cell r="V171">
            <v>2266.15</v>
          </cell>
          <cell r="W171">
            <v>2195.2660000000001</v>
          </cell>
          <cell r="X171">
            <v>-2.9770000000000008</v>
          </cell>
          <cell r="Y171">
            <v>-3.25</v>
          </cell>
          <cell r="Z171">
            <v>0.27399999999999913</v>
          </cell>
          <cell r="AA171">
            <v>-1.3629999999999995</v>
          </cell>
          <cell r="AB171">
            <v>-70</v>
          </cell>
          <cell r="AC171">
            <v>-40</v>
          </cell>
          <cell r="AD171">
            <v>-3.2509999999999999</v>
          </cell>
          <cell r="AE171">
            <v>-1.887</v>
          </cell>
          <cell r="AF171">
            <v>-27.117383404936142</v>
          </cell>
          <cell r="AG171">
            <v>-18.675705708229451</v>
          </cell>
          <cell r="AH171">
            <v>3312.0140000000001</v>
          </cell>
          <cell r="AI171">
            <v>3637.518</v>
          </cell>
        </row>
        <row r="172">
          <cell r="A172" t="str">
            <v>Réunion</v>
          </cell>
          <cell r="B172">
            <v>638</v>
          </cell>
          <cell r="C172" t="str">
            <v>-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  <cell r="P172" t="str">
            <v>-</v>
          </cell>
          <cell r="Q172" t="str">
            <v>-</v>
          </cell>
          <cell r="R172">
            <v>57.131</v>
          </cell>
          <cell r="S172">
            <v>80.801000000000002</v>
          </cell>
          <cell r="T172">
            <v>325.04899999999998</v>
          </cell>
          <cell r="U172">
            <v>383.54500000000002</v>
          </cell>
          <cell r="V172">
            <v>338.83699999999999</v>
          </cell>
          <cell r="W172">
            <v>401.59399999999999</v>
          </cell>
          <cell r="X172">
            <v>17.443999999999999</v>
          </cell>
          <cell r="Y172">
            <v>16.086000000000002</v>
          </cell>
          <cell r="Z172">
            <v>14.994999999999999</v>
          </cell>
          <cell r="AA172">
            <v>14.761000000000001</v>
          </cell>
          <cell r="AB172">
            <v>8.5</v>
          </cell>
          <cell r="AC172">
            <v>5</v>
          </cell>
          <cell r="AD172">
            <v>2.4489999999999998</v>
          </cell>
          <cell r="AE172">
            <v>1.325</v>
          </cell>
          <cell r="AF172">
            <v>12.121730697926472</v>
          </cell>
          <cell r="AG172">
            <v>6.5820651887736297</v>
          </cell>
          <cell r="AH172">
            <v>1091.825</v>
          </cell>
          <cell r="AI172">
            <v>1091.825</v>
          </cell>
        </row>
        <row r="173">
          <cell r="A173" t="str">
            <v>Romania</v>
          </cell>
          <cell r="B173">
            <v>642</v>
          </cell>
          <cell r="C173">
            <v>1991</v>
          </cell>
          <cell r="D173">
            <v>1991</v>
          </cell>
          <cell r="E173" t="str">
            <v>-</v>
          </cell>
          <cell r="F173" t="str">
            <v>-</v>
          </cell>
          <cell r="G173" t="str">
            <v>--</v>
          </cell>
          <cell r="H173">
            <v>2002</v>
          </cell>
          <cell r="I173">
            <v>2002</v>
          </cell>
          <cell r="J173" t="str">
            <v>Satisfactory</v>
          </cell>
          <cell r="K173" t="str">
            <v>Satisfactory</v>
          </cell>
          <cell r="L173" t="str">
            <v>Lower</v>
          </cell>
          <cell r="M173" t="str">
            <v>Lower</v>
          </cell>
          <cell r="N173" t="str">
            <v>Too high</v>
          </cell>
          <cell r="O173" t="str">
            <v>Too high</v>
          </cell>
          <cell r="P173" t="str">
            <v>No intervention</v>
          </cell>
          <cell r="Q173" t="str">
            <v>Lower</v>
          </cell>
          <cell r="R173">
            <v>4359.1840000000002</v>
          </cell>
          <cell r="S173">
            <v>4620.2749999999996</v>
          </cell>
          <cell r="T173">
            <v>11123.977999999999</v>
          </cell>
          <cell r="U173">
            <v>10581.022999999999</v>
          </cell>
          <cell r="V173">
            <v>11556.974</v>
          </cell>
          <cell r="W173">
            <v>11130.449000000001</v>
          </cell>
          <cell r="X173">
            <v>-5.0359999999999996</v>
          </cell>
          <cell r="Y173">
            <v>-3.7010000000000005</v>
          </cell>
          <cell r="Z173">
            <v>-1.9109999999999996</v>
          </cell>
          <cell r="AA173">
            <v>-2.3320000000000007</v>
          </cell>
          <cell r="AB173">
            <v>-350</v>
          </cell>
          <cell r="AC173">
            <v>-150</v>
          </cell>
          <cell r="AD173">
            <v>-3.125</v>
          </cell>
          <cell r="AE173">
            <v>-1.369</v>
          </cell>
          <cell r="AF173">
            <v>-30.605053156605177</v>
          </cell>
          <cell r="AG173">
            <v>-13.884530688978183</v>
          </cell>
          <cell r="AH173">
            <v>16757.442999999999</v>
          </cell>
          <cell r="AI173">
            <v>17126.641000000003</v>
          </cell>
        </row>
        <row r="174">
          <cell r="A174" t="str">
            <v>Russian Federation</v>
          </cell>
          <cell r="B174">
            <v>643</v>
          </cell>
          <cell r="C174">
            <v>1993</v>
          </cell>
          <cell r="D174">
            <v>1993</v>
          </cell>
          <cell r="E174" t="str">
            <v>-</v>
          </cell>
          <cell r="F174" t="str">
            <v>-</v>
          </cell>
          <cell r="G174" t="str">
            <v>--</v>
          </cell>
          <cell r="H174">
            <v>2004</v>
          </cell>
          <cell r="I174">
            <v>2004</v>
          </cell>
          <cell r="J174" t="str">
            <v>Too high</v>
          </cell>
          <cell r="K174" t="str">
            <v>Too low</v>
          </cell>
          <cell r="L174" t="str">
            <v>Lower</v>
          </cell>
          <cell r="M174" t="str">
            <v>Raise</v>
          </cell>
          <cell r="N174" t="str">
            <v>Too high</v>
          </cell>
          <cell r="O174" t="str">
            <v>Too high</v>
          </cell>
          <cell r="P174" t="str">
            <v>Lower</v>
          </cell>
          <cell r="Q174" t="str">
            <v>No intervention</v>
          </cell>
          <cell r="R174">
            <v>17.398</v>
          </cell>
          <cell r="S174">
            <v>19.948999999999998</v>
          </cell>
          <cell r="T174">
            <v>69582.600000000006</v>
          </cell>
          <cell r="U174">
            <v>66447.373000000007</v>
          </cell>
          <cell r="V174">
            <v>78606.599000000002</v>
          </cell>
          <cell r="W174">
            <v>76754.198999999993</v>
          </cell>
          <cell r="X174">
            <v>-2.2110000000000007</v>
          </cell>
          <cell r="Y174">
            <v>-4.636000000000001</v>
          </cell>
          <cell r="Z174">
            <v>-5.3320000000000007</v>
          </cell>
          <cell r="AA174">
            <v>-5.1880000000000006</v>
          </cell>
          <cell r="AB174">
            <v>2300</v>
          </cell>
          <cell r="AC174">
            <v>400</v>
          </cell>
          <cell r="AD174">
            <v>3.121</v>
          </cell>
          <cell r="AE174">
            <v>0.55200000000000005</v>
          </cell>
          <cell r="AF174">
            <v>35.102585015408508</v>
          </cell>
          <cell r="AG174">
            <v>5.4497991749004049</v>
          </cell>
          <cell r="AH174">
            <v>111752.16899999999</v>
          </cell>
          <cell r="AI174">
            <v>108870.05799999999</v>
          </cell>
        </row>
        <row r="175">
          <cell r="A175" t="str">
            <v>Rwanda</v>
          </cell>
          <cell r="B175">
            <v>646</v>
          </cell>
          <cell r="C175">
            <v>1980</v>
          </cell>
          <cell r="D175">
            <v>1980</v>
          </cell>
          <cell r="E175" t="str">
            <v>-</v>
          </cell>
          <cell r="F175" t="str">
            <v>-</v>
          </cell>
          <cell r="G175" t="str">
            <v>--</v>
          </cell>
          <cell r="H175">
            <v>2003</v>
          </cell>
          <cell r="I175" t="str">
            <v>--</v>
          </cell>
          <cell r="J175" t="str">
            <v>Satisfactory</v>
          </cell>
          <cell r="K175" t="str">
            <v>Satisfactory</v>
          </cell>
          <cell r="L175" t="str">
            <v>No intervention</v>
          </cell>
          <cell r="M175" t="str">
            <v>Maintain</v>
          </cell>
          <cell r="N175" t="str">
            <v>Too high</v>
          </cell>
          <cell r="O175" t="str">
            <v>Satisfactory</v>
          </cell>
          <cell r="P175" t="str">
            <v>Lower</v>
          </cell>
          <cell r="Q175" t="str">
            <v>Maintain</v>
          </cell>
          <cell r="R175">
            <v>2670.4119999999998</v>
          </cell>
          <cell r="S175">
            <v>3231.502</v>
          </cell>
          <cell r="T175">
            <v>2636.0430000000001</v>
          </cell>
          <cell r="U175">
            <v>4379.4859999999999</v>
          </cell>
          <cell r="V175">
            <v>2803.0360000000001</v>
          </cell>
          <cell r="W175">
            <v>4658.2039999999997</v>
          </cell>
          <cell r="X175">
            <v>76.813000000000002</v>
          </cell>
          <cell r="Y175">
            <v>23.753</v>
          </cell>
          <cell r="Z175">
            <v>18.076000000000001</v>
          </cell>
          <cell r="AA175">
            <v>22.698</v>
          </cell>
          <cell r="AB175">
            <v>1977.0170000000001</v>
          </cell>
          <cell r="AC175">
            <v>45</v>
          </cell>
          <cell r="AD175">
            <v>58.737000000000002</v>
          </cell>
          <cell r="AE175">
            <v>1.0549999999999999</v>
          </cell>
          <cell r="AF175">
            <v>141.73170712473501</v>
          </cell>
          <cell r="AG175">
            <v>2.5735374015050048</v>
          </cell>
          <cell r="AH175">
            <v>18153.067999999999</v>
          </cell>
          <cell r="AI175">
            <v>18401.142</v>
          </cell>
        </row>
        <row r="176">
          <cell r="A176" t="str">
            <v>Saint Helena</v>
          </cell>
          <cell r="B176">
            <v>654</v>
          </cell>
          <cell r="C176" t="str">
            <v>-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-</v>
          </cell>
          <cell r="H176" t="str">
            <v>-</v>
          </cell>
          <cell r="I176" t="str">
            <v>-</v>
          </cell>
          <cell r="J176" t="str">
            <v>-</v>
          </cell>
          <cell r="K176" t="str">
            <v>-</v>
          </cell>
          <cell r="L176" t="str">
            <v>-</v>
          </cell>
          <cell r="M176" t="str">
            <v>-</v>
          </cell>
          <cell r="N176" t="str">
            <v>-</v>
          </cell>
          <cell r="O176" t="str">
            <v>-</v>
          </cell>
          <cell r="P176" t="str">
            <v>-</v>
          </cell>
          <cell r="Q176" t="str">
            <v>-</v>
          </cell>
          <cell r="R176">
            <v>4687.2359999999999</v>
          </cell>
          <cell r="S176">
            <v>5887.1379999999999</v>
          </cell>
          <cell r="T176">
            <v>2.585</v>
          </cell>
          <cell r="U176">
            <v>2.444</v>
          </cell>
          <cell r="V176">
            <v>2.6059999999999999</v>
          </cell>
          <cell r="W176">
            <v>2.4740000000000002</v>
          </cell>
          <cell r="X176">
            <v>-10.233999999999998</v>
          </cell>
          <cell r="Y176">
            <v>-0.56899999999999906</v>
          </cell>
          <cell r="Z176">
            <v>16.003</v>
          </cell>
          <cell r="AA176">
            <v>14.335000000000001</v>
          </cell>
          <cell r="AB176">
            <v>-0.66400000000000003</v>
          </cell>
          <cell r="AC176">
            <v>-0.36699999999999999</v>
          </cell>
          <cell r="AD176">
            <v>-26.236999999999998</v>
          </cell>
          <cell r="AE176">
            <v>-14.904</v>
          </cell>
          <cell r="AF176">
            <v>-128.68217054263567</v>
          </cell>
          <cell r="AG176">
            <v>-79.265658747300222</v>
          </cell>
          <cell r="AH176">
            <v>6.4890000000000008</v>
          </cell>
          <cell r="AI176">
            <v>6.4890000000000008</v>
          </cell>
        </row>
        <row r="177">
          <cell r="A177" t="str">
            <v>Saint Kitts and Nevis</v>
          </cell>
          <cell r="B177">
            <v>659</v>
          </cell>
          <cell r="C177">
            <v>2002</v>
          </cell>
          <cell r="D177" t="str">
            <v>--</v>
          </cell>
          <cell r="E177" t="str">
            <v>-</v>
          </cell>
          <cell r="F177" t="str">
            <v>-</v>
          </cell>
          <cell r="G177" t="str">
            <v>--</v>
          </cell>
          <cell r="H177">
            <v>2004</v>
          </cell>
          <cell r="I177">
            <v>2004</v>
          </cell>
          <cell r="J177" t="str">
            <v>Satisfactory</v>
          </cell>
          <cell r="K177" t="str">
            <v>Satisfactory</v>
          </cell>
          <cell r="L177" t="str">
            <v>Maintain</v>
          </cell>
          <cell r="M177" t="str">
            <v>Maintain</v>
          </cell>
          <cell r="N177" t="str">
            <v>Satisfactory</v>
          </cell>
          <cell r="O177" t="str">
            <v>Too high</v>
          </cell>
          <cell r="P177" t="str">
            <v>Maintain</v>
          </cell>
          <cell r="Q177" t="str">
            <v>No intervention</v>
          </cell>
          <cell r="R177">
            <v>4828.5059999999994</v>
          </cell>
          <cell r="S177">
            <v>6158.259</v>
          </cell>
          <cell r="T177">
            <v>19.922000000000001</v>
          </cell>
          <cell r="U177">
            <v>21.39</v>
          </cell>
          <cell r="V177">
            <v>20.349</v>
          </cell>
          <cell r="W177">
            <v>21.306000000000001</v>
          </cell>
          <cell r="X177">
            <v>0.91600000000000215</v>
          </cell>
          <cell r="Y177">
            <v>10.776</v>
          </cell>
          <cell r="Z177">
            <v>11.619000000000002</v>
          </cell>
          <cell r="AA177">
            <v>10.776</v>
          </cell>
          <cell r="AB177">
            <v>-2.16</v>
          </cell>
          <cell r="AC177">
            <v>0</v>
          </cell>
          <cell r="AD177">
            <v>-10.702999999999999</v>
          </cell>
          <cell r="AE177">
            <v>0</v>
          </cell>
          <cell r="AF177">
            <v>-50.431940228811577</v>
          </cell>
          <cell r="AG177">
            <v>0</v>
          </cell>
          <cell r="AH177">
            <v>58.79</v>
          </cell>
          <cell r="AI177">
            <v>58.79</v>
          </cell>
        </row>
        <row r="178">
          <cell r="A178" t="str">
            <v>Saint Lucia</v>
          </cell>
          <cell r="B178">
            <v>662</v>
          </cell>
          <cell r="C178" t="str">
            <v>--</v>
          </cell>
          <cell r="D178" t="str">
            <v>--</v>
          </cell>
          <cell r="E178">
            <v>1980</v>
          </cell>
          <cell r="F178" t="str">
            <v>-</v>
          </cell>
          <cell r="G178" t="str">
            <v>--</v>
          </cell>
          <cell r="H178" t="str">
            <v>--</v>
          </cell>
          <cell r="I178" t="str">
            <v>--</v>
          </cell>
          <cell r="J178" t="str">
            <v>Satisfactory</v>
          </cell>
          <cell r="K178" t="str">
            <v>Satisfactory</v>
          </cell>
          <cell r="L178" t="str">
            <v>Lower</v>
          </cell>
          <cell r="M178" t="str">
            <v>Maintain</v>
          </cell>
          <cell r="N178" t="str">
            <v>Satisfactory</v>
          </cell>
          <cell r="O178" t="str">
            <v>Satisfactory</v>
          </cell>
          <cell r="P178" t="str">
            <v>No intervention</v>
          </cell>
          <cell r="Q178" t="str">
            <v>No intervention</v>
          </cell>
          <cell r="R178">
            <v>23836.863000000001</v>
          </cell>
          <cell r="S178">
            <v>27968.243999999999</v>
          </cell>
          <cell r="T178">
            <v>72.667000000000002</v>
          </cell>
          <cell r="U178">
            <v>79.213999999999999</v>
          </cell>
          <cell r="V178">
            <v>75.191999999999993</v>
          </cell>
          <cell r="W178">
            <v>81.551000000000002</v>
          </cell>
          <cell r="X178">
            <v>8.7159999999999993</v>
          </cell>
          <cell r="Y178">
            <v>8.0179999999999989</v>
          </cell>
          <cell r="Z178">
            <v>12.244999999999999</v>
          </cell>
          <cell r="AA178">
            <v>11.824999999999999</v>
          </cell>
          <cell r="AB178">
            <v>-2.6669999999999998</v>
          </cell>
          <cell r="AC178">
            <v>-3</v>
          </cell>
          <cell r="AD178">
            <v>-3.5289999999999999</v>
          </cell>
          <cell r="AE178">
            <v>-3.8069999999999999</v>
          </cell>
          <cell r="AF178">
            <v>-18.358917877056516</v>
          </cell>
          <cell r="AG178">
            <v>-20.248380129589634</v>
          </cell>
          <cell r="AH178">
            <v>188.37900000000002</v>
          </cell>
          <cell r="AI178">
            <v>223.88200000000001</v>
          </cell>
        </row>
        <row r="179">
          <cell r="A179" t="str">
            <v>Saint Vincent and the Grenadines</v>
          </cell>
          <cell r="B179">
            <v>670</v>
          </cell>
          <cell r="C179">
            <v>1993</v>
          </cell>
          <cell r="D179">
            <v>2003</v>
          </cell>
          <cell r="E179" t="str">
            <v>-</v>
          </cell>
          <cell r="F179" t="str">
            <v>-</v>
          </cell>
          <cell r="G179" t="str">
            <v>--</v>
          </cell>
          <cell r="H179" t="str">
            <v>--</v>
          </cell>
          <cell r="I179" t="str">
            <v>--</v>
          </cell>
          <cell r="J179" t="str">
            <v>Satisfactory</v>
          </cell>
          <cell r="K179" t="str">
            <v>Satisfactory</v>
          </cell>
          <cell r="L179" t="str">
            <v>No intervention</v>
          </cell>
          <cell r="M179" t="str">
            <v>Maintain</v>
          </cell>
          <cell r="N179" t="str">
            <v>Satisfactory</v>
          </cell>
          <cell r="O179" t="str">
            <v>Satisfactory</v>
          </cell>
          <cell r="P179" t="str">
            <v>No intervention</v>
          </cell>
          <cell r="Q179" t="str">
            <v>No intervention</v>
          </cell>
          <cell r="R179">
            <v>6.7000000000000004E-2</v>
          </cell>
          <cell r="S179">
            <v>6.7000000000000004E-2</v>
          </cell>
          <cell r="T179">
            <v>56.25</v>
          </cell>
          <cell r="U179">
            <v>59.265999999999998</v>
          </cell>
          <cell r="V179">
            <v>56.728000000000002</v>
          </cell>
          <cell r="W179">
            <v>59.784999999999997</v>
          </cell>
          <cell r="X179">
            <v>5.1919999999999984</v>
          </cell>
          <cell r="Y179">
            <v>5.28</v>
          </cell>
          <cell r="Z179">
            <v>13.927999999999999</v>
          </cell>
          <cell r="AA179">
            <v>13.791</v>
          </cell>
          <cell r="AB179">
            <v>-5</v>
          </cell>
          <cell r="AC179">
            <v>-5</v>
          </cell>
          <cell r="AD179">
            <v>-8.7360000000000007</v>
          </cell>
          <cell r="AE179">
            <v>-8.5109999999999992</v>
          </cell>
          <cell r="AF179">
            <v>-42.087542087542083</v>
          </cell>
          <cell r="AG179">
            <v>-41.428453061562678</v>
          </cell>
          <cell r="AH179">
            <v>105.44499999999999</v>
          </cell>
          <cell r="AI179">
            <v>172.48</v>
          </cell>
        </row>
        <row r="180">
          <cell r="A180" t="str">
            <v>Saint-Pierre-et-Miquelon</v>
          </cell>
          <cell r="B180">
            <v>666</v>
          </cell>
          <cell r="C180" t="str">
            <v>-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-</v>
          </cell>
          <cell r="H180" t="str">
            <v>-</v>
          </cell>
          <cell r="I180" t="str">
            <v>-</v>
          </cell>
          <cell r="J180" t="str">
            <v>-</v>
          </cell>
          <cell r="K180" t="str">
            <v>-</v>
          </cell>
          <cell r="L180" t="str">
            <v>-</v>
          </cell>
          <cell r="M180" t="str">
            <v>-</v>
          </cell>
          <cell r="N180" t="str">
            <v>-</v>
          </cell>
          <cell r="O180" t="str">
            <v>-</v>
          </cell>
          <cell r="P180" t="str">
            <v>-</v>
          </cell>
          <cell r="Q180" t="str">
            <v>-</v>
          </cell>
          <cell r="R180">
            <v>38594.998</v>
          </cell>
          <cell r="S180">
            <v>38529.562000000005</v>
          </cell>
          <cell r="T180">
            <v>2.8679999999999999</v>
          </cell>
          <cell r="U180">
            <v>2.8239999999999998</v>
          </cell>
          <cell r="V180">
            <v>2.952</v>
          </cell>
          <cell r="W180">
            <v>2.9449999999999998</v>
          </cell>
          <cell r="X180">
            <v>-1.1720000000000006</v>
          </cell>
          <cell r="Y180">
            <v>-0.58799999999999919</v>
          </cell>
          <cell r="Z180">
            <v>16.335999999999999</v>
          </cell>
          <cell r="AA180">
            <v>14.297000000000001</v>
          </cell>
          <cell r="AB180">
            <v>-0.50800000000000001</v>
          </cell>
          <cell r="AC180">
            <v>-0.43</v>
          </cell>
          <cell r="AD180">
            <v>-17.507999999999999</v>
          </cell>
          <cell r="AE180">
            <v>-14.885</v>
          </cell>
          <cell r="AF180">
            <v>-85.234899328859072</v>
          </cell>
          <cell r="AG180">
            <v>-79.189686924493557</v>
          </cell>
          <cell r="AH180">
            <v>7.6229999999999993</v>
          </cell>
          <cell r="AI180">
            <v>7.6229999999999993</v>
          </cell>
        </row>
        <row r="181">
          <cell r="A181" t="str">
            <v>Samoa</v>
          </cell>
          <cell r="B181">
            <v>882</v>
          </cell>
          <cell r="C181">
            <v>1988</v>
          </cell>
          <cell r="D181">
            <v>1994</v>
          </cell>
          <cell r="E181" t="str">
            <v>-</v>
          </cell>
          <cell r="F181" t="str">
            <v>-</v>
          </cell>
          <cell r="G181" t="str">
            <v>--</v>
          </cell>
          <cell r="H181" t="str">
            <v>--</v>
          </cell>
          <cell r="I181" t="str">
            <v>--</v>
          </cell>
          <cell r="J181" t="str">
            <v>Too high</v>
          </cell>
          <cell r="K181" t="str">
            <v>Satisfactory</v>
          </cell>
          <cell r="L181" t="str">
            <v>Maintain</v>
          </cell>
          <cell r="M181" t="str">
            <v>Maintain</v>
          </cell>
          <cell r="N181" t="str">
            <v>Satisfactory</v>
          </cell>
          <cell r="O181" t="str">
            <v>Satisfactory</v>
          </cell>
          <cell r="P181" t="str">
            <v>Maintain</v>
          </cell>
          <cell r="Q181" t="str">
            <v>Maintain</v>
          </cell>
          <cell r="R181">
            <v>10030.386</v>
          </cell>
          <cell r="S181">
            <v>10494.502</v>
          </cell>
          <cell r="T181">
            <v>87.616</v>
          </cell>
          <cell r="U181">
            <v>96.221000000000004</v>
          </cell>
          <cell r="V181">
            <v>80.629000000000005</v>
          </cell>
          <cell r="W181">
            <v>88.763000000000005</v>
          </cell>
          <cell r="X181">
            <v>10.677999999999997</v>
          </cell>
          <cell r="Y181">
            <v>8.286999999999999</v>
          </cell>
          <cell r="Z181">
            <v>26.902999999999999</v>
          </cell>
          <cell r="AA181">
            <v>23.736999999999998</v>
          </cell>
          <cell r="AB181">
            <v>-14.023</v>
          </cell>
          <cell r="AC181">
            <v>-14</v>
          </cell>
          <cell r="AD181">
            <v>-16.225000000000001</v>
          </cell>
          <cell r="AE181">
            <v>-15.45</v>
          </cell>
          <cell r="AF181">
            <v>-49.019470758905165</v>
          </cell>
          <cell r="AG181">
            <v>-52.489502099580086</v>
          </cell>
          <cell r="AH181">
            <v>156.709</v>
          </cell>
          <cell r="AI181">
            <v>370.779</v>
          </cell>
        </row>
        <row r="182">
          <cell r="A182" t="str">
            <v>San Marino</v>
          </cell>
          <cell r="B182">
            <v>674</v>
          </cell>
          <cell r="C182" t="str">
            <v>--</v>
          </cell>
          <cell r="D182" t="str">
            <v>--</v>
          </cell>
          <cell r="E182" t="str">
            <v>-</v>
          </cell>
          <cell r="F182">
            <v>1985</v>
          </cell>
          <cell r="G182" t="str">
            <v>--</v>
          </cell>
          <cell r="H182" t="str">
            <v>--</v>
          </cell>
          <cell r="I182" t="str">
            <v>--</v>
          </cell>
          <cell r="J182" t="str">
            <v>Too high</v>
          </cell>
          <cell r="K182" t="str">
            <v>Satisfactory</v>
          </cell>
          <cell r="L182" t="str">
            <v>Lower</v>
          </cell>
          <cell r="M182" t="str">
            <v>No intervention</v>
          </cell>
          <cell r="N182" t="str">
            <v>Satisfactory</v>
          </cell>
          <cell r="O182" t="str">
            <v>Satisfactory</v>
          </cell>
          <cell r="P182" t="str">
            <v>Maintain</v>
          </cell>
          <cell r="Q182" t="str">
            <v>No intervention</v>
          </cell>
          <cell r="R182">
            <v>3696.453</v>
          </cell>
          <cell r="S182">
            <v>3954.5839999999998</v>
          </cell>
          <cell r="T182">
            <v>12.839</v>
          </cell>
          <cell r="U182">
            <v>13.98</v>
          </cell>
          <cell r="V182">
            <v>12.856</v>
          </cell>
          <cell r="W182">
            <v>14.137</v>
          </cell>
          <cell r="X182">
            <v>9.5129999999999999</v>
          </cell>
          <cell r="Y182">
            <v>8.4990000000000006</v>
          </cell>
          <cell r="Z182">
            <v>1.915</v>
          </cell>
          <cell r="AA182">
            <v>1.2350000000000001</v>
          </cell>
          <cell r="AB182">
            <v>1</v>
          </cell>
          <cell r="AC182">
            <v>1</v>
          </cell>
          <cell r="AD182">
            <v>7.5979999999999999</v>
          </cell>
          <cell r="AE182">
            <v>7.2640000000000002</v>
          </cell>
          <cell r="AF182">
            <v>79.239302694136299</v>
          </cell>
          <cell r="AG182">
            <v>77.459333849728893</v>
          </cell>
          <cell r="AH182">
            <v>29.962</v>
          </cell>
          <cell r="AI182">
            <v>22.956</v>
          </cell>
        </row>
        <row r="183">
          <cell r="A183" t="str">
            <v>Sao Tome and Principe</v>
          </cell>
          <cell r="B183">
            <v>678</v>
          </cell>
          <cell r="C183">
            <v>1978</v>
          </cell>
          <cell r="D183">
            <v>1978</v>
          </cell>
          <cell r="E183" t="str">
            <v>-</v>
          </cell>
          <cell r="F183" t="str">
            <v>-</v>
          </cell>
          <cell r="G183" t="str">
            <v>--</v>
          </cell>
          <cell r="H183" t="str">
            <v>--</v>
          </cell>
          <cell r="I183" t="str">
            <v>--</v>
          </cell>
          <cell r="J183" t="str">
            <v>Satisfactory</v>
          </cell>
          <cell r="K183" t="str">
            <v>Satisfactory</v>
          </cell>
          <cell r="L183" t="str">
            <v>No intervention</v>
          </cell>
          <cell r="M183" t="str">
            <v>No intervention</v>
          </cell>
          <cell r="N183" t="str">
            <v>Satisfactory</v>
          </cell>
          <cell r="O183" t="str">
            <v>Satisfactory</v>
          </cell>
          <cell r="P183" t="str">
            <v>No intervention</v>
          </cell>
          <cell r="Q183" t="str">
            <v>No intervention</v>
          </cell>
          <cell r="R183">
            <v>4338.75</v>
          </cell>
          <cell r="S183">
            <v>4205.7470000000003</v>
          </cell>
          <cell r="T183">
            <v>63.167000000000002</v>
          </cell>
          <cell r="U183">
            <v>77.7</v>
          </cell>
          <cell r="V183">
            <v>64.340999999999994</v>
          </cell>
          <cell r="W183">
            <v>78.822999999999993</v>
          </cell>
          <cell r="X183">
            <v>18.218000000000004</v>
          </cell>
          <cell r="Y183">
            <v>22.748999999999999</v>
          </cell>
          <cell r="Z183">
            <v>25.703000000000003</v>
          </cell>
          <cell r="AA183">
            <v>25.45</v>
          </cell>
          <cell r="AB183">
            <v>-5</v>
          </cell>
          <cell r="AC183">
            <v>-2</v>
          </cell>
          <cell r="AD183">
            <v>-7.4850000000000003</v>
          </cell>
          <cell r="AE183">
            <v>-2.7010000000000001</v>
          </cell>
          <cell r="AF183">
            <v>-21.514629948364888</v>
          </cell>
          <cell r="AG183">
            <v>-7.8942174856917307</v>
          </cell>
          <cell r="AH183">
            <v>295.25900000000001</v>
          </cell>
          <cell r="AI183">
            <v>320.47300000000001</v>
          </cell>
        </row>
        <row r="184">
          <cell r="A184" t="str">
            <v>Saudi Arabia</v>
          </cell>
          <cell r="B184">
            <v>682</v>
          </cell>
          <cell r="C184" t="str">
            <v>--</v>
          </cell>
          <cell r="D184" t="str">
            <v>--</v>
          </cell>
          <cell r="E184" t="str">
            <v>-</v>
          </cell>
          <cell r="F184" t="str">
            <v>-</v>
          </cell>
          <cell r="G184" t="str">
            <v>--</v>
          </cell>
          <cell r="H184" t="str">
            <v>--</v>
          </cell>
          <cell r="I184" t="str">
            <v>--</v>
          </cell>
          <cell r="J184" t="str">
            <v>Too high</v>
          </cell>
          <cell r="K184" t="str">
            <v>Too high</v>
          </cell>
          <cell r="L184" t="str">
            <v>Lower</v>
          </cell>
          <cell r="M184" t="str">
            <v>Lower</v>
          </cell>
          <cell r="N184" t="str">
            <v>Satisfactory</v>
          </cell>
          <cell r="O184" t="str">
            <v>Satisfactory</v>
          </cell>
          <cell r="P184" t="str">
            <v>Maintain</v>
          </cell>
          <cell r="Q184" t="str">
            <v>Lower</v>
          </cell>
          <cell r="R184">
            <v>663.88599999999997</v>
          </cell>
          <cell r="S184">
            <v>785.13900000000001</v>
          </cell>
          <cell r="T184">
            <v>10468.630999999999</v>
          </cell>
          <cell r="U184">
            <v>13259.326999999999</v>
          </cell>
          <cell r="V184">
            <v>8213.2189999999991</v>
          </cell>
          <cell r="W184">
            <v>11313.772999999999</v>
          </cell>
          <cell r="X184">
            <v>27.908999999999999</v>
          </cell>
          <cell r="Y184">
            <v>26.824999999999999</v>
          </cell>
          <cell r="Z184">
            <v>27.161999999999999</v>
          </cell>
          <cell r="AA184">
            <v>24.654</v>
          </cell>
          <cell r="AB184">
            <v>75</v>
          </cell>
          <cell r="AC184">
            <v>250</v>
          </cell>
          <cell r="AD184">
            <v>0.747</v>
          </cell>
          <cell r="AE184">
            <v>2.1709999999999998</v>
          </cell>
          <cell r="AF184">
            <v>2.392412416173856</v>
          </cell>
          <cell r="AG184">
            <v>7.6141304860952275</v>
          </cell>
          <cell r="AH184">
            <v>49463.929000000004</v>
          </cell>
          <cell r="AI184">
            <v>45986.445999999996</v>
          </cell>
        </row>
        <row r="185">
          <cell r="A185" t="str">
            <v>Senegal</v>
          </cell>
          <cell r="B185">
            <v>686</v>
          </cell>
          <cell r="C185">
            <v>1963</v>
          </cell>
          <cell r="D185">
            <v>1967</v>
          </cell>
          <cell r="E185" t="str">
            <v>-</v>
          </cell>
          <cell r="F185" t="str">
            <v>-</v>
          </cell>
          <cell r="G185">
            <v>1999</v>
          </cell>
          <cell r="H185">
            <v>2003</v>
          </cell>
          <cell r="I185">
            <v>2003</v>
          </cell>
          <cell r="J185" t="str">
            <v>Satisfactory</v>
          </cell>
          <cell r="K185" t="str">
            <v>Satisfactory</v>
          </cell>
          <cell r="L185" t="str">
            <v>No intervention</v>
          </cell>
          <cell r="M185" t="str">
            <v>No intervention</v>
          </cell>
          <cell r="N185" t="str">
            <v>Satisfactory</v>
          </cell>
          <cell r="O185" t="str">
            <v>Satisfactory</v>
          </cell>
          <cell r="P185" t="str">
            <v>No intervention</v>
          </cell>
          <cell r="Q185" t="str">
            <v>No intervention</v>
          </cell>
          <cell r="R185">
            <v>22680.951999999997</v>
          </cell>
          <cell r="S185">
            <v>21711.472000000002</v>
          </cell>
          <cell r="T185">
            <v>4482.1409999999996</v>
          </cell>
          <cell r="U185">
            <v>5734.335</v>
          </cell>
          <cell r="V185">
            <v>4637.3720000000003</v>
          </cell>
          <cell r="W185">
            <v>5923.8370000000004</v>
          </cell>
          <cell r="X185">
            <v>25.142000000000003</v>
          </cell>
          <cell r="Y185">
            <v>23.913999999999998</v>
          </cell>
          <cell r="Z185">
            <v>27.197000000000003</v>
          </cell>
          <cell r="AA185">
            <v>25.731999999999999</v>
          </cell>
          <cell r="AB185">
            <v>-100</v>
          </cell>
          <cell r="AC185">
            <v>-100</v>
          </cell>
          <cell r="AD185">
            <v>-2.0550000000000002</v>
          </cell>
          <cell r="AE185">
            <v>-1.8180000000000001</v>
          </cell>
          <cell r="AF185">
            <v>-5.1956499939990248</v>
          </cell>
          <cell r="AG185">
            <v>-4.8577858892007049</v>
          </cell>
          <cell r="AH185">
            <v>23108.152999999998</v>
          </cell>
          <cell r="AI185">
            <v>23930.353000000003</v>
          </cell>
        </row>
        <row r="186">
          <cell r="A186" t="str">
            <v>Yugoslavia</v>
          </cell>
          <cell r="B186">
            <v>891</v>
          </cell>
          <cell r="C186">
            <v>2001</v>
          </cell>
          <cell r="D186">
            <v>2001</v>
          </cell>
          <cell r="E186">
            <v>2000</v>
          </cell>
          <cell r="F186">
            <v>2000</v>
          </cell>
          <cell r="G186" t="str">
            <v>--</v>
          </cell>
          <cell r="H186">
            <v>2001</v>
          </cell>
          <cell r="I186">
            <v>2001</v>
          </cell>
          <cell r="J186" t="str">
            <v>Satisfactory</v>
          </cell>
          <cell r="K186" t="str">
            <v>Satisfactory</v>
          </cell>
          <cell r="L186" t="str">
            <v>No intervention</v>
          </cell>
          <cell r="M186" t="str">
            <v>Maintain</v>
          </cell>
          <cell r="N186" t="str">
            <v>Too high</v>
          </cell>
          <cell r="O186" t="str">
            <v>Too high</v>
          </cell>
          <cell r="P186" t="str">
            <v>Lower</v>
          </cell>
          <cell r="Q186" t="str">
            <v>Lower</v>
          </cell>
          <cell r="R186">
            <v>148189.19900000002</v>
          </cell>
          <cell r="S186">
            <v>143201.57199999999</v>
          </cell>
          <cell r="T186">
            <v>5242.4380000000001</v>
          </cell>
          <cell r="U186">
            <v>5225.7070000000003</v>
          </cell>
          <cell r="V186">
            <v>5305.9040000000005</v>
          </cell>
          <cell r="W186">
            <v>5277.4080000000004</v>
          </cell>
          <cell r="X186">
            <v>-5.9000000000000163E-2</v>
          </cell>
          <cell r="Y186">
            <v>-0.8</v>
          </cell>
          <cell r="Z186">
            <v>1.8369999999999997</v>
          </cell>
          <cell r="AA186">
            <v>1.1000000000000001</v>
          </cell>
          <cell r="AB186">
            <v>-100</v>
          </cell>
          <cell r="AC186">
            <v>-100</v>
          </cell>
          <cell r="AD186">
            <v>-1.8959999999999999</v>
          </cell>
          <cell r="AE186">
            <v>-1.9</v>
          </cell>
          <cell r="AF186">
            <v>-15.50911781036071</v>
          </cell>
          <cell r="AG186">
            <v>-16.151409775802282</v>
          </cell>
          <cell r="AH186">
            <v>9426.0709999999999</v>
          </cell>
          <cell r="AI186">
            <v>9681.4739999999983</v>
          </cell>
        </row>
        <row r="187">
          <cell r="A187" t="str">
            <v>Seychelles</v>
          </cell>
          <cell r="B187">
            <v>690</v>
          </cell>
          <cell r="C187">
            <v>1980</v>
          </cell>
          <cell r="D187">
            <v>1980</v>
          </cell>
          <cell r="E187" t="str">
            <v>-</v>
          </cell>
          <cell r="F187" t="str">
            <v>-</v>
          </cell>
          <cell r="G187">
            <v>1994</v>
          </cell>
          <cell r="H187">
            <v>2004</v>
          </cell>
          <cell r="I187">
            <v>2004</v>
          </cell>
          <cell r="J187" t="str">
            <v>Satisfactory</v>
          </cell>
          <cell r="K187" t="str">
            <v>Satisfactory</v>
          </cell>
          <cell r="L187" t="str">
            <v>Maintain</v>
          </cell>
          <cell r="M187" t="str">
            <v>Maintain</v>
          </cell>
          <cell r="N187" t="str">
            <v>Too high</v>
          </cell>
          <cell r="O187" t="str">
            <v>Satisfactory</v>
          </cell>
          <cell r="P187" t="str">
            <v>Maintain</v>
          </cell>
          <cell r="Q187" t="str">
            <v>Maintain</v>
          </cell>
          <cell r="R187">
            <v>5439.0789999999997</v>
          </cell>
          <cell r="S187">
            <v>9037.69</v>
          </cell>
          <cell r="T187">
            <v>37.451999999999998</v>
          </cell>
          <cell r="U187">
            <v>39.954000000000001</v>
          </cell>
          <cell r="V187">
            <v>37.863</v>
          </cell>
          <cell r="W187">
            <v>40.700000000000003</v>
          </cell>
          <cell r="X187">
            <v>4.9120000000000008</v>
          </cell>
          <cell r="Y187">
            <v>8.7829999999999995</v>
          </cell>
          <cell r="Z187">
            <v>10.158000000000001</v>
          </cell>
          <cell r="AA187">
            <v>8.7829999999999995</v>
          </cell>
          <cell r="AB187">
            <v>-2</v>
          </cell>
          <cell r="AC187">
            <v>0</v>
          </cell>
          <cell r="AD187">
            <v>-5.2460000000000004</v>
          </cell>
          <cell r="AE187">
            <v>0</v>
          </cell>
          <cell r="AF187">
            <v>-30.562347188264059</v>
          </cell>
          <cell r="AG187">
            <v>0</v>
          </cell>
          <cell r="AH187">
            <v>99.406000000000006</v>
          </cell>
          <cell r="AI187">
            <v>99.406000000000006</v>
          </cell>
        </row>
        <row r="188">
          <cell r="A188" t="str">
            <v>Sierra Leone</v>
          </cell>
          <cell r="B188">
            <v>694</v>
          </cell>
          <cell r="C188">
            <v>1981</v>
          </cell>
          <cell r="D188">
            <v>1981</v>
          </cell>
          <cell r="E188" t="str">
            <v>-</v>
          </cell>
          <cell r="F188" t="str">
            <v>-</v>
          </cell>
          <cell r="G188" t="str">
            <v>--</v>
          </cell>
          <cell r="H188" t="str">
            <v>--</v>
          </cell>
          <cell r="I188" t="str">
            <v>--</v>
          </cell>
          <cell r="J188" t="str">
            <v>Satisfactory</v>
          </cell>
          <cell r="K188" t="str">
            <v>Satisfactory</v>
          </cell>
          <cell r="L188" t="str">
            <v>Lower</v>
          </cell>
          <cell r="M188" t="str">
            <v>No intervention</v>
          </cell>
          <cell r="N188" t="str">
            <v>Satisfactory</v>
          </cell>
          <cell r="O188" t="str">
            <v>Satisfactory</v>
          </cell>
          <cell r="P188" t="str">
            <v>No intervention</v>
          </cell>
          <cell r="Q188" t="str">
            <v>No intervention</v>
          </cell>
          <cell r="R188">
            <v>5.1909999999999998</v>
          </cell>
          <cell r="S188">
            <v>4.9180000000000001</v>
          </cell>
          <cell r="T188">
            <v>2036.4169999999999</v>
          </cell>
          <cell r="U188">
            <v>2724.5949999999998</v>
          </cell>
          <cell r="V188">
            <v>2100.328</v>
          </cell>
          <cell r="W188">
            <v>2800.8829999999998</v>
          </cell>
          <cell r="X188">
            <v>17.221999999999998</v>
          </cell>
          <cell r="Y188">
            <v>40.520000000000003</v>
          </cell>
          <cell r="Z188">
            <v>22.316999999999997</v>
          </cell>
          <cell r="AA188">
            <v>23.052000000000003</v>
          </cell>
          <cell r="AB188">
            <v>-110.122</v>
          </cell>
          <cell r="AC188">
            <v>438.21499999999997</v>
          </cell>
          <cell r="AD188">
            <v>-5.0949999999999998</v>
          </cell>
          <cell r="AE188">
            <v>17.468</v>
          </cell>
          <cell r="AF188">
            <v>-10.851831632140231</v>
          </cell>
          <cell r="AG188">
            <v>37.391538811378858</v>
          </cell>
          <cell r="AH188">
            <v>13786.418000000001</v>
          </cell>
          <cell r="AI188">
            <v>13976.512000000001</v>
          </cell>
        </row>
        <row r="189">
          <cell r="A189" t="str">
            <v>Singapore</v>
          </cell>
          <cell r="B189">
            <v>702</v>
          </cell>
          <cell r="C189" t="str">
            <v>--</v>
          </cell>
          <cell r="D189" t="str">
            <v>--</v>
          </cell>
          <cell r="E189" t="str">
            <v>-</v>
          </cell>
          <cell r="F189" t="str">
            <v>-</v>
          </cell>
          <cell r="G189" t="str">
            <v>--</v>
          </cell>
          <cell r="H189" t="str">
            <v>--</v>
          </cell>
          <cell r="I189" t="str">
            <v>--</v>
          </cell>
          <cell r="J189" t="str">
            <v>Satisfactory</v>
          </cell>
          <cell r="K189" t="str">
            <v>Too low</v>
          </cell>
          <cell r="L189" t="str">
            <v>Raise</v>
          </cell>
          <cell r="M189" t="str">
            <v>Raise</v>
          </cell>
          <cell r="N189" t="str">
            <v>Satisfactory</v>
          </cell>
          <cell r="O189" t="str">
            <v>Too high</v>
          </cell>
          <cell r="P189" t="str">
            <v>No intervention</v>
          </cell>
          <cell r="Q189" t="str">
            <v>Lower</v>
          </cell>
          <cell r="R189">
            <v>40.271000000000001</v>
          </cell>
          <cell r="S189">
            <v>42.695999999999998</v>
          </cell>
          <cell r="T189">
            <v>1751.501</v>
          </cell>
          <cell r="U189">
            <v>2177.1840000000002</v>
          </cell>
          <cell r="V189">
            <v>1726.5360000000001</v>
          </cell>
          <cell r="W189">
            <v>2148.355</v>
          </cell>
          <cell r="X189">
            <v>28.785</v>
          </cell>
          <cell r="Y189">
            <v>14.773</v>
          </cell>
          <cell r="Z189">
            <v>9.1460000000000008</v>
          </cell>
          <cell r="AA189">
            <v>5.1840000000000002</v>
          </cell>
          <cell r="AB189">
            <v>368</v>
          </cell>
          <cell r="AC189">
            <v>200</v>
          </cell>
          <cell r="AD189">
            <v>19.638999999999999</v>
          </cell>
          <cell r="AE189">
            <v>9.5890000000000004</v>
          </cell>
          <cell r="AF189">
            <v>140.67278287461772</v>
          </cell>
          <cell r="AG189">
            <v>94.8289759418888</v>
          </cell>
          <cell r="AH189">
            <v>5212.759</v>
          </cell>
          <cell r="AI189">
            <v>4055.8919999999998</v>
          </cell>
        </row>
        <row r="190">
          <cell r="A190" t="str">
            <v>Slovakia</v>
          </cell>
          <cell r="B190">
            <v>703</v>
          </cell>
          <cell r="C190">
            <v>1993</v>
          </cell>
          <cell r="D190">
            <v>1993</v>
          </cell>
          <cell r="E190" t="str">
            <v>-</v>
          </cell>
          <cell r="F190" t="str">
            <v>-</v>
          </cell>
          <cell r="G190" t="str">
            <v>--</v>
          </cell>
          <cell r="H190">
            <v>2004</v>
          </cell>
          <cell r="I190">
            <v>2004</v>
          </cell>
          <cell r="J190" t="str">
            <v>Satisfactory</v>
          </cell>
          <cell r="K190" t="str">
            <v>Satisfactory</v>
          </cell>
          <cell r="L190" t="str">
            <v>Lower</v>
          </cell>
          <cell r="M190" t="str">
            <v>Maintain</v>
          </cell>
          <cell r="N190" t="str">
            <v>Satisfactory</v>
          </cell>
          <cell r="O190" t="str">
            <v>Satisfactory</v>
          </cell>
          <cell r="P190" t="str">
            <v>No intervention</v>
          </cell>
          <cell r="Q190" t="str">
            <v>No intervention</v>
          </cell>
          <cell r="R190">
            <v>147.85899999999998</v>
          </cell>
          <cell r="S190">
            <v>160.76499999999999</v>
          </cell>
          <cell r="T190">
            <v>2612.2289999999998</v>
          </cell>
          <cell r="U190">
            <v>2620.0169999999998</v>
          </cell>
          <cell r="V190">
            <v>2751.4479999999999</v>
          </cell>
          <cell r="W190">
            <v>2780.8910000000001</v>
          </cell>
          <cell r="X190">
            <v>1.3570000000000002</v>
          </cell>
          <cell r="Y190">
            <v>2.5999999999999301E-2</v>
          </cell>
          <cell r="Z190">
            <v>1.0090000000000003</v>
          </cell>
          <cell r="AA190">
            <v>-0.1590000000000007</v>
          </cell>
          <cell r="AB190">
            <v>9.359</v>
          </cell>
          <cell r="AC190">
            <v>5</v>
          </cell>
          <cell r="AD190">
            <v>0.34799999999999998</v>
          </cell>
          <cell r="AE190">
            <v>0.185</v>
          </cell>
          <cell r="AF190">
            <v>3.2112625796467924</v>
          </cell>
          <cell r="AG190">
            <v>1.9409259769650906</v>
          </cell>
          <cell r="AH190">
            <v>4612.32</v>
          </cell>
          <cell r="AI190">
            <v>4532.3599999999997</v>
          </cell>
        </row>
        <row r="191">
          <cell r="A191" t="str">
            <v>Slovenia</v>
          </cell>
          <cell r="B191">
            <v>705</v>
          </cell>
          <cell r="C191">
            <v>1992</v>
          </cell>
          <cell r="D191">
            <v>1992</v>
          </cell>
          <cell r="E191">
            <v>1992</v>
          </cell>
          <cell r="F191">
            <v>1992</v>
          </cell>
          <cell r="G191" t="str">
            <v>--</v>
          </cell>
          <cell r="H191">
            <v>2004</v>
          </cell>
          <cell r="I191">
            <v>2004</v>
          </cell>
          <cell r="J191" t="str">
            <v>Satisfactory</v>
          </cell>
          <cell r="K191" t="str">
            <v>Satisfactory</v>
          </cell>
          <cell r="L191" t="str">
            <v>Lower</v>
          </cell>
          <cell r="M191" t="str">
            <v>Maintain</v>
          </cell>
          <cell r="N191" t="str">
            <v>Satisfactory</v>
          </cell>
          <cell r="O191" t="str">
            <v>Satisfactory</v>
          </cell>
          <cell r="P191" t="str">
            <v>No intervention</v>
          </cell>
          <cell r="Q191" t="str">
            <v>No intervention</v>
          </cell>
          <cell r="R191">
            <v>112.97800000000001</v>
          </cell>
          <cell r="S191">
            <v>119.05099999999999</v>
          </cell>
          <cell r="T191">
            <v>956.58900000000006</v>
          </cell>
          <cell r="U191">
            <v>960.12</v>
          </cell>
          <cell r="V191">
            <v>1007.42</v>
          </cell>
          <cell r="W191">
            <v>1006.694</v>
          </cell>
          <cell r="X191">
            <v>0.28699999999999892</v>
          </cell>
          <cell r="Y191">
            <v>-1.000000000000778E-3</v>
          </cell>
          <cell r="Z191">
            <v>-0.52700000000000102</v>
          </cell>
          <cell r="AA191">
            <v>-1.0180000000000007</v>
          </cell>
          <cell r="AB191">
            <v>8</v>
          </cell>
          <cell r="AC191">
            <v>10</v>
          </cell>
          <cell r="AD191">
            <v>0.81399999999999995</v>
          </cell>
          <cell r="AE191">
            <v>1.0169999999999999</v>
          </cell>
          <cell r="AF191">
            <v>8.9080907734449823</v>
          </cell>
          <cell r="AG191">
            <v>11.548944426479421</v>
          </cell>
          <cell r="AH191">
            <v>1630.4859999999999</v>
          </cell>
          <cell r="AI191">
            <v>1525.7850000000001</v>
          </cell>
        </row>
        <row r="192">
          <cell r="A192" t="str">
            <v>Solomon Islands</v>
          </cell>
          <cell r="B192">
            <v>90</v>
          </cell>
          <cell r="C192">
            <v>1995</v>
          </cell>
          <cell r="D192">
            <v>1995</v>
          </cell>
          <cell r="E192" t="str">
            <v>-</v>
          </cell>
          <cell r="F192" t="str">
            <v>-</v>
          </cell>
          <cell r="G192" t="str">
            <v>--</v>
          </cell>
          <cell r="H192" t="str">
            <v>--</v>
          </cell>
          <cell r="I192" t="str">
            <v>--</v>
          </cell>
          <cell r="J192" t="str">
            <v>Satisfactory</v>
          </cell>
          <cell r="K192" t="str">
            <v>Satisfactory</v>
          </cell>
          <cell r="L192" t="str">
            <v>Maintain</v>
          </cell>
          <cell r="M192" t="str">
            <v>Maintain</v>
          </cell>
          <cell r="N192" t="str">
            <v>Satisfactory</v>
          </cell>
          <cell r="O192" t="str">
            <v>Satisfactory</v>
          </cell>
          <cell r="P192" t="str">
            <v>Maintain</v>
          </cell>
          <cell r="Q192" t="str">
            <v>Maintain</v>
          </cell>
          <cell r="R192">
            <v>5.82</v>
          </cell>
          <cell r="S192">
            <v>5.7690000000000001</v>
          </cell>
          <cell r="T192">
            <v>188.001</v>
          </cell>
          <cell r="U192">
            <v>246.608</v>
          </cell>
          <cell r="V192">
            <v>175.83199999999999</v>
          </cell>
          <cell r="W192">
            <v>231.13399999999999</v>
          </cell>
          <cell r="X192">
            <v>28.060999999999996</v>
          </cell>
          <cell r="Y192">
            <v>26.329000000000001</v>
          </cell>
          <cell r="Z192">
            <v>28.060999999999996</v>
          </cell>
          <cell r="AA192">
            <v>26.329000000000001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920.73800000000006</v>
          </cell>
          <cell r="AI192">
            <v>920.73800000000006</v>
          </cell>
        </row>
        <row r="193">
          <cell r="A193" t="str">
            <v xml:space="preserve">Somalia </v>
          </cell>
          <cell r="B193">
            <v>706</v>
          </cell>
          <cell r="C193">
            <v>1978</v>
          </cell>
          <cell r="D193">
            <v>1978</v>
          </cell>
          <cell r="E193" t="str">
            <v>-</v>
          </cell>
          <cell r="F193" t="str">
            <v>-</v>
          </cell>
          <cell r="G193" t="str">
            <v>--</v>
          </cell>
          <cell r="H193" t="str">
            <v>--</v>
          </cell>
          <cell r="I193" t="str">
            <v>--</v>
          </cell>
          <cell r="J193" t="str">
            <v>Satisfactory</v>
          </cell>
          <cell r="K193" t="str">
            <v>..</v>
          </cell>
          <cell r="L193" t="str">
            <v>No intervention</v>
          </cell>
          <cell r="M193" t="str">
            <v>..</v>
          </cell>
          <cell r="N193" t="str">
            <v>Satisfactory</v>
          </cell>
          <cell r="O193" t="str">
            <v>..</v>
          </cell>
          <cell r="P193" t="str">
            <v>No intervention</v>
          </cell>
          <cell r="Q193" t="str">
            <v>..</v>
          </cell>
          <cell r="R193">
            <v>168.245</v>
          </cell>
          <cell r="S193">
            <v>184.98400000000001</v>
          </cell>
          <cell r="T193">
            <v>3118.2649999999999</v>
          </cell>
          <cell r="U193">
            <v>4081.0680000000002</v>
          </cell>
          <cell r="V193">
            <v>3193.3820000000001</v>
          </cell>
          <cell r="W193">
            <v>4146.7579999999998</v>
          </cell>
          <cell r="X193">
            <v>21.015999999999998</v>
          </cell>
          <cell r="Y193">
            <v>31.920999999999996</v>
          </cell>
          <cell r="Z193">
            <v>27.45</v>
          </cell>
          <cell r="AA193">
            <v>27.458999999999996</v>
          </cell>
          <cell r="AB193">
            <v>-214.31100000000001</v>
          </cell>
          <cell r="AC193">
            <v>170</v>
          </cell>
          <cell r="AD193">
            <v>-6.4340000000000002</v>
          </cell>
          <cell r="AE193">
            <v>4.4619999999999997</v>
          </cell>
          <cell r="AF193">
            <v>-13.480086600236252</v>
          </cell>
          <cell r="AG193">
            <v>9.7386657684179667</v>
          </cell>
          <cell r="AH193">
            <v>21329.092000000001</v>
          </cell>
          <cell r="AI193">
            <v>21007.163999999997</v>
          </cell>
        </row>
        <row r="194">
          <cell r="A194" t="str">
            <v>South Africa</v>
          </cell>
          <cell r="B194">
            <v>710</v>
          </cell>
          <cell r="C194">
            <v>1996</v>
          </cell>
          <cell r="D194">
            <v>1996</v>
          </cell>
          <cell r="E194" t="str">
            <v>-</v>
          </cell>
          <cell r="F194" t="str">
            <v>-</v>
          </cell>
          <cell r="G194" t="str">
            <v>--</v>
          </cell>
          <cell r="H194">
            <v>2004</v>
          </cell>
          <cell r="I194">
            <v>2004</v>
          </cell>
          <cell r="J194" t="str">
            <v>Satisfactory</v>
          </cell>
          <cell r="K194" t="str">
            <v>Too high</v>
          </cell>
          <cell r="L194" t="str">
            <v>Maintain</v>
          </cell>
          <cell r="M194" t="str">
            <v>Lower</v>
          </cell>
          <cell r="N194" t="str">
            <v>Satisfactory</v>
          </cell>
          <cell r="O194" t="str">
            <v>Too high</v>
          </cell>
          <cell r="P194" t="str">
            <v>No intervention</v>
          </cell>
          <cell r="Q194" t="str">
            <v>Lower</v>
          </cell>
          <cell r="R194">
            <v>25.695</v>
          </cell>
          <cell r="S194">
            <v>28.117000000000001</v>
          </cell>
          <cell r="T194">
            <v>20648.080999999998</v>
          </cell>
          <cell r="U194">
            <v>23291.102999999999</v>
          </cell>
          <cell r="V194">
            <v>21245.949000000001</v>
          </cell>
          <cell r="W194">
            <v>24140.725999999999</v>
          </cell>
          <cell r="X194">
            <v>16.988000000000003</v>
          </cell>
          <cell r="Y194">
            <v>7.8309999999999995</v>
          </cell>
          <cell r="Z194">
            <v>15.323000000000002</v>
          </cell>
          <cell r="AA194">
            <v>7.6159999999999997</v>
          </cell>
          <cell r="AB194">
            <v>364.28899999999999</v>
          </cell>
          <cell r="AC194">
            <v>50</v>
          </cell>
          <cell r="AD194">
            <v>1.665</v>
          </cell>
          <cell r="AE194">
            <v>0.215</v>
          </cell>
          <cell r="AF194">
            <v>6.5614745697808576</v>
          </cell>
          <cell r="AG194">
            <v>0.90209817209651577</v>
          </cell>
          <cell r="AH194">
            <v>48659.903999999995</v>
          </cell>
          <cell r="AI194">
            <v>48432.307000000001</v>
          </cell>
        </row>
        <row r="195">
          <cell r="A195" t="str">
            <v>Spain</v>
          </cell>
          <cell r="B195">
            <v>724</v>
          </cell>
          <cell r="C195">
            <v>1978</v>
          </cell>
          <cell r="D195">
            <v>1978</v>
          </cell>
          <cell r="E195">
            <v>1967</v>
          </cell>
          <cell r="F195" t="str">
            <v>-</v>
          </cell>
          <cell r="G195" t="str">
            <v>--</v>
          </cell>
          <cell r="H195">
            <v>2002</v>
          </cell>
          <cell r="I195">
            <v>2002</v>
          </cell>
          <cell r="J195" t="str">
            <v>Satisfactory</v>
          </cell>
          <cell r="K195" t="str">
            <v>Satisfactory</v>
          </cell>
          <cell r="L195" t="str">
            <v>Lower</v>
          </cell>
          <cell r="M195" t="str">
            <v>Maintain</v>
          </cell>
          <cell r="N195" t="str">
            <v>Satisfactory</v>
          </cell>
          <cell r="O195" t="str">
            <v>Too high</v>
          </cell>
          <cell r="P195" t="str">
            <v>Lower</v>
          </cell>
          <cell r="Q195" t="str">
            <v>Lower</v>
          </cell>
          <cell r="R195">
            <v>127.508</v>
          </cell>
          <cell r="S195">
            <v>156.523</v>
          </cell>
          <cell r="T195">
            <v>19567.999</v>
          </cell>
          <cell r="U195">
            <v>21148.221000000001</v>
          </cell>
          <cell r="V195">
            <v>20352.536</v>
          </cell>
          <cell r="W195">
            <v>21915.968000000001</v>
          </cell>
          <cell r="X195">
            <v>3.9520000000000004</v>
          </cell>
          <cell r="Y195">
            <v>11.205</v>
          </cell>
          <cell r="Z195">
            <v>0.5990000000000002</v>
          </cell>
          <cell r="AA195">
            <v>1.536999999999999</v>
          </cell>
          <cell r="AB195">
            <v>676</v>
          </cell>
          <cell r="AC195">
            <v>2025</v>
          </cell>
          <cell r="AD195">
            <v>3.3530000000000002</v>
          </cell>
          <cell r="AE195">
            <v>9.6679999999999993</v>
          </cell>
          <cell r="AF195">
            <v>35.387111971941579</v>
          </cell>
          <cell r="AG195">
            <v>93.382350228544666</v>
          </cell>
          <cell r="AH195">
            <v>42541.274999999994</v>
          </cell>
          <cell r="AI195">
            <v>38508.803</v>
          </cell>
        </row>
        <row r="196">
          <cell r="A196" t="str">
            <v>Sri Lanka</v>
          </cell>
          <cell r="B196">
            <v>144</v>
          </cell>
          <cell r="C196" t="str">
            <v>--</v>
          </cell>
          <cell r="D196" t="str">
            <v>--</v>
          </cell>
          <cell r="E196" t="str">
            <v>-</v>
          </cell>
          <cell r="F196" t="str">
            <v>-</v>
          </cell>
          <cell r="G196">
            <v>1996</v>
          </cell>
          <cell r="H196" t="str">
            <v>--</v>
          </cell>
          <cell r="I196" t="str">
            <v>--</v>
          </cell>
          <cell r="J196" t="str">
            <v>Satisfactory</v>
          </cell>
          <cell r="K196" t="str">
            <v>Satisfactory</v>
          </cell>
          <cell r="L196" t="str">
            <v>Maintain</v>
          </cell>
          <cell r="M196" t="str">
            <v>Maintain</v>
          </cell>
          <cell r="N196" t="str">
            <v>Satisfactory</v>
          </cell>
          <cell r="O196" t="str">
            <v>Too high</v>
          </cell>
          <cell r="P196" t="str">
            <v>No intervention</v>
          </cell>
          <cell r="Q196" t="str">
            <v>Maintain</v>
          </cell>
          <cell r="R196">
            <v>9119.512999999999</v>
          </cell>
          <cell r="S196">
            <v>11658.172</v>
          </cell>
          <cell r="T196">
            <v>9642.1489999999994</v>
          </cell>
          <cell r="U196">
            <v>10541.396000000001</v>
          </cell>
          <cell r="V196">
            <v>9230.0169999999998</v>
          </cell>
          <cell r="W196">
            <v>10201.509</v>
          </cell>
          <cell r="X196">
            <v>10.077</v>
          </cell>
          <cell r="Y196">
            <v>8.8230000000000022</v>
          </cell>
          <cell r="Z196">
            <v>11.727</v>
          </cell>
          <cell r="AA196">
            <v>10.397000000000002</v>
          </cell>
          <cell r="AB196">
            <v>-159.69999999999999</v>
          </cell>
          <cell r="AC196">
            <v>-159.69999999999999</v>
          </cell>
          <cell r="AD196">
            <v>-1.65</v>
          </cell>
          <cell r="AE196">
            <v>-1.5740000000000001</v>
          </cell>
          <cell r="AF196">
            <v>-9.4584294032187088</v>
          </cell>
          <cell r="AG196">
            <v>-9.59332011773893</v>
          </cell>
          <cell r="AH196">
            <v>23553.566999999999</v>
          </cell>
          <cell r="AI196">
            <v>25609.114999999998</v>
          </cell>
        </row>
        <row r="197">
          <cell r="A197" t="str">
            <v>Sudan</v>
          </cell>
          <cell r="B197">
            <v>736</v>
          </cell>
          <cell r="C197">
            <v>1974</v>
          </cell>
          <cell r="D197">
            <v>1974</v>
          </cell>
          <cell r="E197" t="str">
            <v>-</v>
          </cell>
          <cell r="F197" t="str">
            <v>-</v>
          </cell>
          <cell r="G197" t="str">
            <v>--</v>
          </cell>
          <cell r="H197" t="str">
            <v>--</v>
          </cell>
          <cell r="I197" t="str">
            <v>--</v>
          </cell>
          <cell r="J197" t="str">
            <v>Satisfactory</v>
          </cell>
          <cell r="K197" t="str">
            <v>Satisfactory</v>
          </cell>
          <cell r="L197" t="str">
            <v>Raise</v>
          </cell>
          <cell r="M197" t="str">
            <v>Maintain</v>
          </cell>
          <cell r="N197" t="str">
            <v>Too high</v>
          </cell>
          <cell r="O197" t="str">
            <v>Too high</v>
          </cell>
          <cell r="P197" t="str">
            <v>Lower</v>
          </cell>
          <cell r="Q197" t="str">
            <v>Lower</v>
          </cell>
          <cell r="R197">
            <v>10548.342000000001</v>
          </cell>
          <cell r="S197">
            <v>10503.115000000002</v>
          </cell>
          <cell r="T197">
            <v>14754.906000000001</v>
          </cell>
          <cell r="U197">
            <v>18235.353999999999</v>
          </cell>
          <cell r="V197">
            <v>14597.116</v>
          </cell>
          <cell r="W197">
            <v>17997.591</v>
          </cell>
          <cell r="X197">
            <v>22.811999999999998</v>
          </cell>
          <cell r="Y197">
            <v>19.268999999999995</v>
          </cell>
          <cell r="Z197">
            <v>24.140999999999998</v>
          </cell>
          <cell r="AA197">
            <v>22.272999999999996</v>
          </cell>
          <cell r="AB197">
            <v>-206.85400000000001</v>
          </cell>
          <cell r="AC197">
            <v>-519.12300000000005</v>
          </cell>
          <cell r="AD197">
            <v>-1.329</v>
          </cell>
          <cell r="AE197">
            <v>-3.004</v>
          </cell>
          <cell r="AF197">
            <v>-3.7018537902509538</v>
          </cell>
          <cell r="AG197">
            <v>-8.9662854278668309</v>
          </cell>
          <cell r="AH197">
            <v>66705.021000000008</v>
          </cell>
          <cell r="AI197">
            <v>66399.653999999995</v>
          </cell>
        </row>
        <row r="198">
          <cell r="A198" t="str">
            <v>Suriname</v>
          </cell>
          <cell r="B198">
            <v>740</v>
          </cell>
          <cell r="C198">
            <v>1978</v>
          </cell>
          <cell r="D198">
            <v>1978</v>
          </cell>
          <cell r="E198" t="str">
            <v>-</v>
          </cell>
          <cell r="F198" t="str">
            <v>-</v>
          </cell>
          <cell r="G198" t="str">
            <v>--</v>
          </cell>
          <cell r="H198" t="str">
            <v>--</v>
          </cell>
          <cell r="I198" t="str">
            <v>--</v>
          </cell>
          <cell r="J198" t="str">
            <v>Too high</v>
          </cell>
          <cell r="K198" t="str">
            <v>Too low</v>
          </cell>
          <cell r="L198" t="str">
            <v>Lower</v>
          </cell>
          <cell r="M198" t="str">
            <v>Raise</v>
          </cell>
          <cell r="N198" t="str">
            <v>Too high</v>
          </cell>
          <cell r="O198" t="str">
            <v>Too high</v>
          </cell>
          <cell r="P198" t="str">
            <v>Lower</v>
          </cell>
          <cell r="Q198" t="str">
            <v>Lower</v>
          </cell>
          <cell r="R198">
            <v>75.314999999999998</v>
          </cell>
          <cell r="S198">
            <v>80.653999999999996</v>
          </cell>
          <cell r="T198">
            <v>207.41900000000001</v>
          </cell>
          <cell r="U198">
            <v>224.26300000000001</v>
          </cell>
          <cell r="V198">
            <v>207.184</v>
          </cell>
          <cell r="W198">
            <v>224.97499999999999</v>
          </cell>
          <cell r="X198">
            <v>9.150999999999998</v>
          </cell>
          <cell r="Y198">
            <v>6.8929999999999989</v>
          </cell>
          <cell r="Z198">
            <v>16.692999999999998</v>
          </cell>
          <cell r="AA198">
            <v>14.138999999999999</v>
          </cell>
          <cell r="AB198">
            <v>-16</v>
          </cell>
          <cell r="AC198">
            <v>-16</v>
          </cell>
          <cell r="AD198">
            <v>-7.5419999999999998</v>
          </cell>
          <cell r="AE198">
            <v>-7.2460000000000004</v>
          </cell>
          <cell r="AF198">
            <v>-31.814837644906646</v>
          </cell>
          <cell r="AG198">
            <v>-34.058495465962793</v>
          </cell>
          <cell r="AH198">
            <v>429.29200000000003</v>
          </cell>
          <cell r="AI198">
            <v>649.46100000000001</v>
          </cell>
        </row>
        <row r="199">
          <cell r="A199" t="str">
            <v>Swaziland</v>
          </cell>
          <cell r="B199">
            <v>748</v>
          </cell>
          <cell r="C199">
            <v>2000</v>
          </cell>
          <cell r="D199">
            <v>1969</v>
          </cell>
          <cell r="E199" t="str">
            <v>-</v>
          </cell>
          <cell r="F199" t="str">
            <v>-</v>
          </cell>
          <cell r="G199" t="str">
            <v>--</v>
          </cell>
          <cell r="H199" t="str">
            <v>--</v>
          </cell>
          <cell r="I199" t="str">
            <v>--</v>
          </cell>
          <cell r="J199" t="str">
            <v>Satisfactory</v>
          </cell>
          <cell r="K199" t="str">
            <v>Satisfactory</v>
          </cell>
          <cell r="L199" t="str">
            <v>Maintain</v>
          </cell>
          <cell r="M199" t="str">
            <v>Maintain</v>
          </cell>
          <cell r="N199" t="str">
            <v>Satisfactory</v>
          </cell>
          <cell r="O199" t="str">
            <v>Satisfactory</v>
          </cell>
          <cell r="P199" t="str">
            <v>No intervention</v>
          </cell>
          <cell r="Q199" t="str">
            <v>No intervention</v>
          </cell>
          <cell r="R199">
            <v>4136.7449999999999</v>
          </cell>
          <cell r="S199">
            <v>5525.4779999999992</v>
          </cell>
          <cell r="T199">
            <v>455.86799999999999</v>
          </cell>
          <cell r="U199">
            <v>497.685</v>
          </cell>
          <cell r="V199">
            <v>497.238</v>
          </cell>
          <cell r="W199">
            <v>534.75300000000004</v>
          </cell>
          <cell r="X199">
            <v>14.16</v>
          </cell>
          <cell r="Y199">
            <v>1.824000000000001</v>
          </cell>
          <cell r="Z199">
            <v>16.588999999999999</v>
          </cell>
          <cell r="AA199">
            <v>2.9920000000000009</v>
          </cell>
          <cell r="AB199">
            <v>-12</v>
          </cell>
          <cell r="AC199">
            <v>-6</v>
          </cell>
          <cell r="AD199">
            <v>-2.4289999999999998</v>
          </cell>
          <cell r="AE199">
            <v>-1.1679999999999999</v>
          </cell>
          <cell r="AF199">
            <v>-7.3439412484700126</v>
          </cell>
          <cell r="AG199">
            <v>-3.9382224176747425</v>
          </cell>
          <cell r="AH199">
            <v>1025.952</v>
          </cell>
          <cell r="AI199">
            <v>1063.9369999999999</v>
          </cell>
        </row>
        <row r="200">
          <cell r="A200" t="str">
            <v>Sweden</v>
          </cell>
          <cell r="B200">
            <v>752</v>
          </cell>
          <cell r="C200">
            <v>1954</v>
          </cell>
          <cell r="D200">
            <v>1967</v>
          </cell>
          <cell r="E200" t="str">
            <v>-</v>
          </cell>
          <cell r="F200">
            <v>1982</v>
          </cell>
          <cell r="G200" t="str">
            <v>--</v>
          </cell>
          <cell r="H200">
            <v>2004</v>
          </cell>
          <cell r="I200" t="str">
            <v>--</v>
          </cell>
          <cell r="J200" t="str">
            <v>Satisfactory</v>
          </cell>
          <cell r="K200" t="str">
            <v>Satisfactory</v>
          </cell>
          <cell r="L200" t="str">
            <v>Lower</v>
          </cell>
          <cell r="M200" t="str">
            <v>Maintain</v>
          </cell>
          <cell r="N200" t="str">
            <v>Satisfactory</v>
          </cell>
          <cell r="O200" t="str">
            <v>Satisfactory</v>
          </cell>
          <cell r="P200" t="str">
            <v>No intervention</v>
          </cell>
          <cell r="Q200" t="str">
            <v>No intervention</v>
          </cell>
          <cell r="R200">
            <v>5363.6769999999997</v>
          </cell>
          <cell r="S200">
            <v>5400.9079999999994</v>
          </cell>
          <cell r="T200">
            <v>4361.1679999999997</v>
          </cell>
          <cell r="U200">
            <v>4486.4480000000003</v>
          </cell>
          <cell r="V200">
            <v>4465.7809999999999</v>
          </cell>
          <cell r="W200">
            <v>4554.8140000000003</v>
          </cell>
          <cell r="X200">
            <v>1.1399999999999999</v>
          </cell>
          <cell r="Y200">
            <v>3.6569999999999991</v>
          </cell>
          <cell r="Z200">
            <v>-0.2240000000000002</v>
          </cell>
          <cell r="AA200">
            <v>0.15199999999999925</v>
          </cell>
          <cell r="AB200">
            <v>60.350999999999999</v>
          </cell>
          <cell r="AC200">
            <v>157</v>
          </cell>
          <cell r="AD200">
            <v>1.3640000000000001</v>
          </cell>
          <cell r="AE200">
            <v>3.5049999999999999</v>
          </cell>
          <cell r="AF200">
            <v>13.182514181616432</v>
          </cell>
          <cell r="AG200">
            <v>33.10252928625043</v>
          </cell>
          <cell r="AH200">
            <v>10054.373</v>
          </cell>
          <cell r="AI200">
            <v>8704.476999999999</v>
          </cell>
        </row>
        <row r="201">
          <cell r="A201" t="str">
            <v>Switzerland</v>
          </cell>
          <cell r="B201">
            <v>756</v>
          </cell>
          <cell r="C201">
            <v>1955</v>
          </cell>
          <cell r="D201">
            <v>1968</v>
          </cell>
          <cell r="E201" t="str">
            <v>-</v>
          </cell>
          <cell r="F201" t="str">
            <v>-</v>
          </cell>
          <cell r="G201" t="str">
            <v>--</v>
          </cell>
          <cell r="H201" t="str">
            <v>--</v>
          </cell>
          <cell r="I201" t="str">
            <v>--</v>
          </cell>
          <cell r="J201" t="str">
            <v>Too high</v>
          </cell>
          <cell r="K201" t="str">
            <v>Satisfactory</v>
          </cell>
          <cell r="L201" t="str">
            <v>Lower</v>
          </cell>
          <cell r="M201" t="str">
            <v>Maintain</v>
          </cell>
          <cell r="N201" t="str">
            <v>Satisfactory</v>
          </cell>
          <cell r="O201" t="str">
            <v>Satisfactory</v>
          </cell>
          <cell r="P201" t="str">
            <v>No intervention</v>
          </cell>
          <cell r="Q201" t="str">
            <v>No intervention</v>
          </cell>
          <cell r="R201">
            <v>1964.009</v>
          </cell>
          <cell r="S201">
            <v>1966.8139999999999</v>
          </cell>
          <cell r="T201">
            <v>3426.4920000000002</v>
          </cell>
          <cell r="U201">
            <v>3512.2579999999998</v>
          </cell>
          <cell r="V201">
            <v>3576.7069999999999</v>
          </cell>
          <cell r="W201">
            <v>3740.0729999999999</v>
          </cell>
          <cell r="X201">
            <v>4.6369999999999996</v>
          </cell>
          <cell r="Y201">
            <v>2.3540000000000019</v>
          </cell>
          <cell r="Z201">
            <v>2.3789999999999996</v>
          </cell>
          <cell r="AA201">
            <v>1.2440000000000015</v>
          </cell>
          <cell r="AB201">
            <v>80</v>
          </cell>
          <cell r="AC201">
            <v>40</v>
          </cell>
          <cell r="AD201">
            <v>2.258</v>
          </cell>
          <cell r="AE201">
            <v>1.1100000000000001</v>
          </cell>
          <cell r="AF201">
            <v>20.498576630085246</v>
          </cell>
          <cell r="AG201">
            <v>11.408134570355392</v>
          </cell>
          <cell r="AH201">
            <v>7252.48</v>
          </cell>
          <cell r="AI201">
            <v>6386.9009999999998</v>
          </cell>
        </row>
        <row r="202">
          <cell r="A202" t="str">
            <v>Syrian Arab Republic</v>
          </cell>
          <cell r="B202">
            <v>760</v>
          </cell>
          <cell r="C202" t="str">
            <v>--</v>
          </cell>
          <cell r="D202" t="str">
            <v>--</v>
          </cell>
          <cell r="E202" t="str">
            <v>-</v>
          </cell>
          <cell r="F202" t="str">
            <v>-</v>
          </cell>
          <cell r="G202">
            <v>2005</v>
          </cell>
          <cell r="H202" t="str">
            <v>--</v>
          </cell>
          <cell r="I202" t="str">
            <v>--</v>
          </cell>
          <cell r="J202" t="str">
            <v>Satisfactory</v>
          </cell>
          <cell r="K202" t="str">
            <v>Satisfactory</v>
          </cell>
          <cell r="L202" t="str">
            <v>Maintain</v>
          </cell>
          <cell r="M202" t="str">
            <v>Maintain</v>
          </cell>
          <cell r="N202" t="str">
            <v>Too high</v>
          </cell>
          <cell r="O202" t="str">
            <v>Too high</v>
          </cell>
          <cell r="P202" t="str">
            <v>Lower</v>
          </cell>
          <cell r="Q202" t="str">
            <v>Lower</v>
          </cell>
          <cell r="R202">
            <v>363.83299999999997</v>
          </cell>
          <cell r="S202">
            <v>477.74199999999996</v>
          </cell>
          <cell r="T202">
            <v>7414.0320000000002</v>
          </cell>
          <cell r="U202">
            <v>9584.74</v>
          </cell>
          <cell r="V202">
            <v>7340.6729999999998</v>
          </cell>
          <cell r="W202">
            <v>9458.6419999999998</v>
          </cell>
          <cell r="X202">
            <v>26.079000000000001</v>
          </cell>
          <cell r="Y202">
            <v>24.882999999999999</v>
          </cell>
          <cell r="Z202">
            <v>26.459</v>
          </cell>
          <cell r="AA202">
            <v>25.218</v>
          </cell>
          <cell r="AB202">
            <v>-30</v>
          </cell>
          <cell r="AC202">
            <v>-30</v>
          </cell>
          <cell r="AD202">
            <v>-0.38</v>
          </cell>
          <cell r="AE202">
            <v>-0.33500000000000002</v>
          </cell>
          <cell r="AF202">
            <v>-1.2537811951209521</v>
          </cell>
          <cell r="AG202">
            <v>-1.1645031492046831</v>
          </cell>
          <cell r="AH202">
            <v>35934.99</v>
          </cell>
          <cell r="AI202">
            <v>36029.364000000001</v>
          </cell>
        </row>
        <row r="203">
          <cell r="A203" t="str">
            <v>Tajikistan</v>
          </cell>
          <cell r="B203">
            <v>762</v>
          </cell>
          <cell r="C203">
            <v>1993</v>
          </cell>
          <cell r="D203">
            <v>1993</v>
          </cell>
          <cell r="E203" t="str">
            <v>-</v>
          </cell>
          <cell r="F203" t="str">
            <v>-</v>
          </cell>
          <cell r="G203">
            <v>2002</v>
          </cell>
          <cell r="H203">
            <v>2002</v>
          </cell>
          <cell r="I203">
            <v>2002</v>
          </cell>
          <cell r="J203" t="str">
            <v>Satisfactory</v>
          </cell>
          <cell r="K203" t="str">
            <v>Satisfactory</v>
          </cell>
          <cell r="L203" t="str">
            <v>No intervention</v>
          </cell>
          <cell r="M203" t="str">
            <v>Maintain</v>
          </cell>
          <cell r="N203" t="str">
            <v>Too high</v>
          </cell>
          <cell r="O203" t="str">
            <v>Too high</v>
          </cell>
          <cell r="P203" t="str">
            <v>No intervention</v>
          </cell>
          <cell r="Q203" t="str">
            <v>No intervention</v>
          </cell>
          <cell r="R203">
            <v>6311.6469999999999</v>
          </cell>
          <cell r="S203">
            <v>8227.8260000000009</v>
          </cell>
          <cell r="T203">
            <v>2885.5680000000002</v>
          </cell>
          <cell r="U203">
            <v>3229.6610000000001</v>
          </cell>
          <cell r="V203">
            <v>2884.114</v>
          </cell>
          <cell r="W203">
            <v>3277.319</v>
          </cell>
          <cell r="X203">
            <v>13.046999999999999</v>
          </cell>
          <cell r="Y203">
            <v>10.996000000000002</v>
          </cell>
          <cell r="Z203">
            <v>24.616</v>
          </cell>
          <cell r="AA203">
            <v>21.892000000000003</v>
          </cell>
          <cell r="AB203">
            <v>-345</v>
          </cell>
          <cell r="AC203">
            <v>-345</v>
          </cell>
          <cell r="AD203">
            <v>-11.569000000000001</v>
          </cell>
          <cell r="AE203">
            <v>-10.896000000000001</v>
          </cell>
          <cell r="AF203">
            <v>-35.361041357044023</v>
          </cell>
          <cell r="AG203">
            <v>-36.93964169618269</v>
          </cell>
          <cell r="AH203">
            <v>10422.519</v>
          </cell>
          <cell r="AI203">
            <v>11704.851999999999</v>
          </cell>
        </row>
        <row r="204">
          <cell r="A204" t="str">
            <v>TFYR Macedonia</v>
          </cell>
          <cell r="B204">
            <v>807</v>
          </cell>
          <cell r="C204">
            <v>1994</v>
          </cell>
          <cell r="D204">
            <v>1994</v>
          </cell>
          <cell r="E204">
            <v>1991</v>
          </cell>
          <cell r="F204" t="str">
            <v>-</v>
          </cell>
          <cell r="G204" t="str">
            <v>--</v>
          </cell>
          <cell r="H204">
            <v>2005</v>
          </cell>
          <cell r="I204">
            <v>2005</v>
          </cell>
          <cell r="J204" t="str">
            <v>Too high</v>
          </cell>
          <cell r="K204" t="str">
            <v>Satisfactory</v>
          </cell>
          <cell r="L204" t="str">
            <v>Lower</v>
          </cell>
          <cell r="M204" t="str">
            <v>Maintain</v>
          </cell>
          <cell r="N204" t="str">
            <v>Too high</v>
          </cell>
          <cell r="O204" t="str">
            <v>Too high</v>
          </cell>
          <cell r="P204" t="str">
            <v>Lower</v>
          </cell>
          <cell r="Q204" t="str">
            <v>Lower</v>
          </cell>
          <cell r="R204">
            <v>41894.03</v>
          </cell>
          <cell r="S204">
            <v>47431.828999999998</v>
          </cell>
          <cell r="T204">
            <v>982.79700000000003</v>
          </cell>
          <cell r="U204">
            <v>1014.845</v>
          </cell>
          <cell r="V204">
            <v>980.69</v>
          </cell>
          <cell r="W204">
            <v>1019.215</v>
          </cell>
          <cell r="X204">
            <v>4.6349999999999998</v>
          </cell>
          <cell r="Y204">
            <v>2.4280000000000017</v>
          </cell>
          <cell r="Z204">
            <v>5.1379999999999999</v>
          </cell>
          <cell r="AA204">
            <v>3.4170000000000016</v>
          </cell>
          <cell r="AB204">
            <v>-5</v>
          </cell>
          <cell r="AC204">
            <v>-10</v>
          </cell>
          <cell r="AD204">
            <v>-0.503</v>
          </cell>
          <cell r="AE204">
            <v>-0.98899999999999999</v>
          </cell>
          <cell r="AF204">
            <v>-3.7629634089438118</v>
          </cell>
          <cell r="AG204">
            <v>-8.3581989752848056</v>
          </cell>
          <cell r="AH204">
            <v>1884.4490000000001</v>
          </cell>
          <cell r="AI204">
            <v>1970.73</v>
          </cell>
        </row>
        <row r="205">
          <cell r="A205" t="str">
            <v>Thailand</v>
          </cell>
          <cell r="B205">
            <v>764</v>
          </cell>
          <cell r="C205" t="str">
            <v>--</v>
          </cell>
          <cell r="D205" t="str">
            <v>--</v>
          </cell>
          <cell r="E205" t="str">
            <v>-</v>
          </cell>
          <cell r="F205" t="str">
            <v>-</v>
          </cell>
          <cell r="G205" t="str">
            <v>--</v>
          </cell>
          <cell r="H205" t="str">
            <v>--</v>
          </cell>
          <cell r="I205" t="str">
            <v>--</v>
          </cell>
          <cell r="J205" t="str">
            <v>Satisfactory</v>
          </cell>
          <cell r="K205" t="str">
            <v>Satisfactory</v>
          </cell>
          <cell r="L205" t="str">
            <v>Lower</v>
          </cell>
          <cell r="M205" t="str">
            <v>Maintain</v>
          </cell>
          <cell r="N205" t="str">
            <v>Satisfactory</v>
          </cell>
          <cell r="O205" t="str">
            <v>Too low</v>
          </cell>
          <cell r="P205" t="str">
            <v>Maintain</v>
          </cell>
          <cell r="Q205" t="str">
            <v>Raise</v>
          </cell>
          <cell r="R205">
            <v>39920.535000000003</v>
          </cell>
          <cell r="S205">
            <v>43064.188999999998</v>
          </cell>
          <cell r="T205">
            <v>28931.559000000001</v>
          </cell>
          <cell r="U205">
            <v>31543.166000000001</v>
          </cell>
          <cell r="V205">
            <v>29404.392</v>
          </cell>
          <cell r="W205">
            <v>32689.592000000001</v>
          </cell>
          <cell r="X205">
            <v>10.362000000000002</v>
          </cell>
          <cell r="Y205">
            <v>8.8940000000000001</v>
          </cell>
          <cell r="Z205">
            <v>10.654000000000002</v>
          </cell>
          <cell r="AA205">
            <v>9.0530000000000008</v>
          </cell>
          <cell r="AB205">
            <v>-87.536000000000001</v>
          </cell>
          <cell r="AC205">
            <v>-50</v>
          </cell>
          <cell r="AD205">
            <v>-0.29199999999999998</v>
          </cell>
          <cell r="AE205">
            <v>-0.159</v>
          </cell>
          <cell r="AF205">
            <v>-1.6912240895102995</v>
          </cell>
          <cell r="AG205">
            <v>-0.97586567091935916</v>
          </cell>
          <cell r="AH205">
            <v>74594.296999999991</v>
          </cell>
          <cell r="AI205">
            <v>75338.913</v>
          </cell>
        </row>
        <row r="206">
          <cell r="A206" t="str">
            <v>Togo</v>
          </cell>
          <cell r="B206">
            <v>768</v>
          </cell>
          <cell r="C206">
            <v>1962</v>
          </cell>
          <cell r="D206">
            <v>1969</v>
          </cell>
          <cell r="E206" t="str">
            <v>-</v>
          </cell>
          <cell r="F206">
            <v>1983</v>
          </cell>
          <cell r="G206" t="str">
            <v>--</v>
          </cell>
          <cell r="H206" t="str">
            <v>--</v>
          </cell>
          <cell r="I206" t="str">
            <v>--</v>
          </cell>
          <cell r="J206" t="str">
            <v>Satisfactory</v>
          </cell>
          <cell r="K206" t="str">
            <v>Satisfactory</v>
          </cell>
          <cell r="L206" t="str">
            <v>No intervention</v>
          </cell>
          <cell r="M206" t="str">
            <v>No intervention</v>
          </cell>
          <cell r="N206" t="str">
            <v>Satisfactory</v>
          </cell>
          <cell r="O206" t="str">
            <v>Satisfactory</v>
          </cell>
          <cell r="P206" t="str">
            <v>No intervention</v>
          </cell>
          <cell r="Q206" t="str">
            <v>No intervention</v>
          </cell>
          <cell r="R206">
            <v>29352.022000000001</v>
          </cell>
          <cell r="S206">
            <v>36232.945</v>
          </cell>
          <cell r="T206">
            <v>2229.346</v>
          </cell>
          <cell r="U206">
            <v>3034.5650000000001</v>
          </cell>
          <cell r="V206">
            <v>2282.8130000000001</v>
          </cell>
          <cell r="W206">
            <v>3110.4389999999999</v>
          </cell>
          <cell r="X206">
            <v>34.491</v>
          </cell>
          <cell r="Y206">
            <v>27.153000000000002</v>
          </cell>
          <cell r="Z206">
            <v>29.318999999999999</v>
          </cell>
          <cell r="AA206">
            <v>27.277000000000001</v>
          </cell>
          <cell r="AB206">
            <v>127.705</v>
          </cell>
          <cell r="AC206">
            <v>-3.57</v>
          </cell>
          <cell r="AD206">
            <v>5.1719999999999997</v>
          </cell>
          <cell r="AE206">
            <v>-0.124</v>
          </cell>
          <cell r="AF206">
            <v>12.543574199162943</v>
          </cell>
          <cell r="AG206">
            <v>-0.31378849951964866</v>
          </cell>
          <cell r="AH206">
            <v>13543.924999999999</v>
          </cell>
          <cell r="AI206">
            <v>13555.171999999999</v>
          </cell>
        </row>
        <row r="207">
          <cell r="A207" t="str">
            <v>Tokelau</v>
          </cell>
          <cell r="B207">
            <v>772</v>
          </cell>
          <cell r="C207" t="str">
            <v>-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-</v>
          </cell>
          <cell r="O207" t="str">
            <v>-</v>
          </cell>
          <cell r="P207" t="str">
            <v>-</v>
          </cell>
          <cell r="Q207" t="str">
            <v>-</v>
          </cell>
          <cell r="R207">
            <v>414.60300000000001</v>
          </cell>
          <cell r="S207">
            <v>449.238</v>
          </cell>
          <cell r="T207">
            <v>0.68400000000000005</v>
          </cell>
          <cell r="U207">
            <v>0.66300000000000003</v>
          </cell>
          <cell r="V207">
            <v>0.72899999999999998</v>
          </cell>
          <cell r="W207">
            <v>0.71499999999999997</v>
          </cell>
          <cell r="X207">
            <v>-2.1349999999999998</v>
          </cell>
          <cell r="Y207">
            <v>-2.8819999999999997</v>
          </cell>
          <cell r="Z207">
            <v>15.368</v>
          </cell>
          <cell r="AA207">
            <v>14.121</v>
          </cell>
          <cell r="AB207">
            <v>-0.123</v>
          </cell>
          <cell r="AC207">
            <v>-0.11799999999999999</v>
          </cell>
          <cell r="AD207">
            <v>-17.503</v>
          </cell>
          <cell r="AE207">
            <v>-17.003</v>
          </cell>
          <cell r="AF207">
            <v>-88.489208633093526</v>
          </cell>
          <cell r="AG207">
            <v>-92.913385826771645</v>
          </cell>
          <cell r="AH207">
            <v>1.8180000000000001</v>
          </cell>
          <cell r="AI207">
            <v>1.8180000000000001</v>
          </cell>
        </row>
        <row r="208">
          <cell r="A208" t="str">
            <v>Tonga</v>
          </cell>
          <cell r="B208">
            <v>776</v>
          </cell>
          <cell r="C208" t="str">
            <v>--</v>
          </cell>
          <cell r="D208" t="str">
            <v>--</v>
          </cell>
          <cell r="E208" t="str">
            <v>-</v>
          </cell>
          <cell r="F208" t="str">
            <v>-</v>
          </cell>
          <cell r="G208" t="str">
            <v>--</v>
          </cell>
          <cell r="H208" t="str">
            <v>--</v>
          </cell>
          <cell r="I208" t="str">
            <v>--</v>
          </cell>
          <cell r="J208" t="str">
            <v>Satisfactory</v>
          </cell>
          <cell r="K208" t="str">
            <v>Satisfactory</v>
          </cell>
          <cell r="L208" t="str">
            <v>Maintain</v>
          </cell>
          <cell r="M208" t="str">
            <v>Maintain</v>
          </cell>
          <cell r="N208" t="str">
            <v>Satisfactory</v>
          </cell>
          <cell r="O208" t="str">
            <v>Satisfactory</v>
          </cell>
          <cell r="P208" t="str">
            <v>Maintain</v>
          </cell>
          <cell r="Q208" t="str">
            <v>Maintain</v>
          </cell>
          <cell r="R208">
            <v>953.10599999999999</v>
          </cell>
          <cell r="S208">
            <v>1032.4380000000001</v>
          </cell>
          <cell r="T208">
            <v>49.110999999999997</v>
          </cell>
          <cell r="U208">
            <v>52.167999999999999</v>
          </cell>
          <cell r="V208">
            <v>47.753999999999998</v>
          </cell>
          <cell r="W208">
            <v>50.143000000000001</v>
          </cell>
          <cell r="X208">
            <v>6.7489999999999988</v>
          </cell>
          <cell r="Y208">
            <v>4.1900000000000004</v>
          </cell>
          <cell r="Z208">
            <v>21.254999999999999</v>
          </cell>
          <cell r="AA208">
            <v>18.305</v>
          </cell>
          <cell r="AB208">
            <v>-7.1459999999999999</v>
          </cell>
          <cell r="AC208">
            <v>-7.1459999999999999</v>
          </cell>
          <cell r="AD208">
            <v>-14.506</v>
          </cell>
          <cell r="AE208">
            <v>-14.115</v>
          </cell>
          <cell r="AF208">
            <v>-53.536110278693435</v>
          </cell>
          <cell r="AG208">
            <v>-58.282358698311718</v>
          </cell>
          <cell r="AH208">
            <v>74.978000000000009</v>
          </cell>
          <cell r="AI208">
            <v>181.38800000000001</v>
          </cell>
        </row>
        <row r="209">
          <cell r="A209" t="str">
            <v>Trinidad and Tobago</v>
          </cell>
          <cell r="B209">
            <v>780</v>
          </cell>
          <cell r="C209">
            <v>2000</v>
          </cell>
          <cell r="D209">
            <v>2000</v>
          </cell>
          <cell r="E209">
            <v>1963</v>
          </cell>
          <cell r="F209" t="str">
            <v>-</v>
          </cell>
          <cell r="G209" t="str">
            <v>--</v>
          </cell>
          <cell r="H209" t="str">
            <v>--</v>
          </cell>
          <cell r="I209" t="str">
            <v>--</v>
          </cell>
          <cell r="J209" t="str">
            <v>Satisfactory</v>
          </cell>
          <cell r="K209" t="str">
            <v>Satisfactory</v>
          </cell>
          <cell r="L209" t="str">
            <v>Maintain</v>
          </cell>
          <cell r="M209" t="str">
            <v>Maintain</v>
          </cell>
          <cell r="N209" t="str">
            <v>Too high</v>
          </cell>
          <cell r="O209" t="str">
            <v>Too high</v>
          </cell>
          <cell r="P209" t="str">
            <v>Lower</v>
          </cell>
          <cell r="Q209" t="str">
            <v>No intervention</v>
          </cell>
          <cell r="R209">
            <v>8826.9490000000005</v>
          </cell>
          <cell r="S209">
            <v>9041.2620000000006</v>
          </cell>
          <cell r="T209">
            <v>627.38699999999994</v>
          </cell>
          <cell r="U209">
            <v>643.72699999999998</v>
          </cell>
          <cell r="V209">
            <v>631.93700000000001</v>
          </cell>
          <cell r="W209">
            <v>661.50900000000001</v>
          </cell>
          <cell r="X209">
            <v>3.99</v>
          </cell>
          <cell r="Y209">
            <v>3.1709999999999998</v>
          </cell>
          <cell r="Z209">
            <v>7.1349999999999998</v>
          </cell>
          <cell r="AA209">
            <v>6.26</v>
          </cell>
          <cell r="AB209">
            <v>-20</v>
          </cell>
          <cell r="AC209">
            <v>-20</v>
          </cell>
          <cell r="AD209">
            <v>-3.145</v>
          </cell>
          <cell r="AE209">
            <v>-3.089</v>
          </cell>
          <cell r="AF209">
            <v>-22.337134369031794</v>
          </cell>
          <cell r="AG209">
            <v>-21.759944294542606</v>
          </cell>
          <cell r="AH209">
            <v>1229.595</v>
          </cell>
          <cell r="AI209">
            <v>1450.546</v>
          </cell>
        </row>
        <row r="210">
          <cell r="A210" t="str">
            <v>Tunisia</v>
          </cell>
          <cell r="B210">
            <v>788</v>
          </cell>
          <cell r="C210">
            <v>1957</v>
          </cell>
          <cell r="D210">
            <v>1968</v>
          </cell>
          <cell r="E210" t="str">
            <v>-</v>
          </cell>
          <cell r="F210" t="str">
            <v>-</v>
          </cell>
          <cell r="G210" t="str">
            <v>--</v>
          </cell>
          <cell r="H210">
            <v>2003</v>
          </cell>
          <cell r="I210">
            <v>2003</v>
          </cell>
          <cell r="J210" t="str">
            <v>Satisfactory</v>
          </cell>
          <cell r="K210" t="str">
            <v>Satisfactory</v>
          </cell>
          <cell r="L210" t="str">
            <v>Maintain</v>
          </cell>
          <cell r="M210" t="str">
            <v>No intervention</v>
          </cell>
          <cell r="N210" t="str">
            <v>Satisfactory</v>
          </cell>
          <cell r="O210" t="str">
            <v>Satisfactory</v>
          </cell>
          <cell r="P210" t="str">
            <v>Raise</v>
          </cell>
          <cell r="Q210" t="str">
            <v>Raise</v>
          </cell>
          <cell r="R210">
            <v>7003.1990000000005</v>
          </cell>
          <cell r="S210">
            <v>7252.3310000000001</v>
          </cell>
          <cell r="T210">
            <v>4535.3890000000001</v>
          </cell>
          <cell r="U210">
            <v>5089.6530000000002</v>
          </cell>
          <cell r="V210">
            <v>4441.2420000000002</v>
          </cell>
          <cell r="W210">
            <v>5012.8140000000003</v>
          </cell>
          <cell r="X210">
            <v>12.662000000000001</v>
          </cell>
          <cell r="Y210">
            <v>10.962999999999999</v>
          </cell>
          <cell r="Z210">
            <v>13.093</v>
          </cell>
          <cell r="AA210">
            <v>11.37</v>
          </cell>
          <cell r="AB210">
            <v>-20</v>
          </cell>
          <cell r="AC210">
            <v>-20</v>
          </cell>
          <cell r="AD210">
            <v>-0.43099999999999999</v>
          </cell>
          <cell r="AE210">
            <v>-0.40699999999999997</v>
          </cell>
          <cell r="AF210">
            <v>-2.3189992126997674</v>
          </cell>
          <cell r="AG210">
            <v>-2.4215948139125465</v>
          </cell>
          <cell r="AH210">
            <v>12926.748</v>
          </cell>
          <cell r="AI210">
            <v>13176.919000000002</v>
          </cell>
        </row>
        <row r="211">
          <cell r="A211" t="str">
            <v>Turkey</v>
          </cell>
          <cell r="B211">
            <v>792</v>
          </cell>
          <cell r="C211">
            <v>1962</v>
          </cell>
          <cell r="D211">
            <v>1968</v>
          </cell>
          <cell r="E211" t="str">
            <v>-</v>
          </cell>
          <cell r="F211" t="str">
            <v>-</v>
          </cell>
          <cell r="G211">
            <v>2004</v>
          </cell>
          <cell r="H211">
            <v>2003</v>
          </cell>
          <cell r="I211">
            <v>2003</v>
          </cell>
          <cell r="J211" t="str">
            <v>Satisfactory</v>
          </cell>
          <cell r="K211" t="str">
            <v>Too high</v>
          </cell>
          <cell r="L211" t="str">
            <v>Lower</v>
          </cell>
          <cell r="M211" t="str">
            <v>Lower</v>
          </cell>
          <cell r="N211" t="str">
            <v>Satisfactory</v>
          </cell>
          <cell r="O211" t="str">
            <v>Satisfactory</v>
          </cell>
          <cell r="P211" t="str">
            <v>Maintain</v>
          </cell>
          <cell r="Q211" t="str">
            <v>Maintain</v>
          </cell>
          <cell r="R211">
            <v>1963.4870000000001</v>
          </cell>
          <cell r="S211">
            <v>2034.06</v>
          </cell>
          <cell r="T211">
            <v>31640.392</v>
          </cell>
          <cell r="U211">
            <v>36878.457000000002</v>
          </cell>
          <cell r="V211">
            <v>30980.024000000001</v>
          </cell>
          <cell r="W211">
            <v>36314.381000000001</v>
          </cell>
          <cell r="X211">
            <v>17.161000000000001</v>
          </cell>
          <cell r="Y211">
            <v>14.023999999999997</v>
          </cell>
          <cell r="Z211">
            <v>16.748000000000001</v>
          </cell>
          <cell r="AA211">
            <v>14.730999999999998</v>
          </cell>
          <cell r="AB211">
            <v>135.24</v>
          </cell>
          <cell r="AC211">
            <v>-250</v>
          </cell>
          <cell r="AD211">
            <v>0.41299999999999998</v>
          </cell>
          <cell r="AE211">
            <v>-0.70699999999999996</v>
          </cell>
          <cell r="AF211">
            <v>1.76783782218694</v>
          </cell>
          <cell r="AG211">
            <v>-3.3106807726387335</v>
          </cell>
          <cell r="AH211">
            <v>101208.35399999999</v>
          </cell>
          <cell r="AI211">
            <v>102680.19</v>
          </cell>
        </row>
        <row r="212">
          <cell r="A212" t="str">
            <v>Turkmenistan</v>
          </cell>
          <cell r="B212">
            <v>795</v>
          </cell>
          <cell r="C212">
            <v>1998</v>
          </cell>
          <cell r="D212">
            <v>1998</v>
          </cell>
          <cell r="E212" t="str">
            <v>-</v>
          </cell>
          <cell r="F212" t="str">
            <v>-</v>
          </cell>
          <cell r="G212" t="str">
            <v>--</v>
          </cell>
          <cell r="H212">
            <v>2005</v>
          </cell>
          <cell r="I212">
            <v>2005</v>
          </cell>
          <cell r="J212" t="str">
            <v>Satisfactory</v>
          </cell>
          <cell r="K212" t="str">
            <v>Satisfactory</v>
          </cell>
          <cell r="L212" t="str">
            <v>No intervention</v>
          </cell>
          <cell r="M212" t="str">
            <v>Lower</v>
          </cell>
          <cell r="N212" t="str">
            <v>Too high</v>
          </cell>
          <cell r="O212" t="str">
            <v>Too high</v>
          </cell>
          <cell r="P212" t="str">
            <v>No intervention</v>
          </cell>
          <cell r="Q212" t="str">
            <v>Lower</v>
          </cell>
          <cell r="R212">
            <v>4512.1589999999997</v>
          </cell>
          <cell r="S212">
            <v>6145.0039999999999</v>
          </cell>
          <cell r="T212">
            <v>2069.3690000000001</v>
          </cell>
          <cell r="U212">
            <v>2380.364</v>
          </cell>
          <cell r="V212">
            <v>2123.61</v>
          </cell>
          <cell r="W212">
            <v>2452.902</v>
          </cell>
          <cell r="X212">
            <v>14.222999999999999</v>
          </cell>
          <cell r="Y212">
            <v>14.188000000000001</v>
          </cell>
          <cell r="Z212">
            <v>16.523</v>
          </cell>
          <cell r="AA212">
            <v>14.616000000000001</v>
          </cell>
          <cell r="AB212">
            <v>-50</v>
          </cell>
          <cell r="AC212">
            <v>-10</v>
          </cell>
          <cell r="AD212">
            <v>-2.2999999999999998</v>
          </cell>
          <cell r="AE212">
            <v>-0.42799999999999999</v>
          </cell>
          <cell r="AF212">
            <v>-9.3938346384500928</v>
          </cell>
          <cell r="AG212">
            <v>-1.87185645107248</v>
          </cell>
          <cell r="AH212">
            <v>6779.7909999999993</v>
          </cell>
          <cell r="AI212">
            <v>6882.3809999999994</v>
          </cell>
        </row>
        <row r="213">
          <cell r="A213" t="str">
            <v>Turks and Caicos Islands</v>
          </cell>
          <cell r="B213">
            <v>796</v>
          </cell>
          <cell r="C213" t="str">
            <v>-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-</v>
          </cell>
          <cell r="H213" t="str">
            <v>-</v>
          </cell>
          <cell r="I213" t="str">
            <v>-</v>
          </cell>
          <cell r="J213" t="str">
            <v>-</v>
          </cell>
          <cell r="K213" t="str">
            <v>-</v>
          </cell>
          <cell r="L213" t="str">
            <v>-</v>
          </cell>
          <cell r="M213" t="str">
            <v>-</v>
          </cell>
          <cell r="N213" t="str">
            <v>-</v>
          </cell>
          <cell r="O213" t="str">
            <v>-</v>
          </cell>
          <cell r="P213" t="str">
            <v>-</v>
          </cell>
          <cell r="Q213" t="str">
            <v>-</v>
          </cell>
          <cell r="R213">
            <v>1.413</v>
          </cell>
          <cell r="S213">
            <v>1.3780000000000001</v>
          </cell>
          <cell r="T213">
            <v>7.7850000000000001</v>
          </cell>
          <cell r="U213">
            <v>13.255000000000001</v>
          </cell>
          <cell r="V213">
            <v>7.5410000000000004</v>
          </cell>
          <cell r="W213">
            <v>13.032999999999999</v>
          </cell>
          <cell r="X213">
            <v>46.968000000000004</v>
          </cell>
          <cell r="Y213">
            <v>60.263999999999996</v>
          </cell>
          <cell r="Z213">
            <v>17.023000000000003</v>
          </cell>
          <cell r="AA213">
            <v>16.492999999999999</v>
          </cell>
          <cell r="AB213">
            <v>2.6</v>
          </cell>
          <cell r="AC213">
            <v>5</v>
          </cell>
          <cell r="AD213">
            <v>29.945</v>
          </cell>
          <cell r="AE213">
            <v>43.771000000000001</v>
          </cell>
          <cell r="AF213">
            <v>130.718954248366</v>
          </cell>
          <cell r="AG213">
            <v>201.93861066235863</v>
          </cell>
          <cell r="AH213">
            <v>34.506</v>
          </cell>
          <cell r="AI213">
            <v>34.506</v>
          </cell>
        </row>
        <row r="214">
          <cell r="A214" t="str">
            <v>Tuvalu</v>
          </cell>
          <cell r="B214">
            <v>798</v>
          </cell>
          <cell r="C214">
            <v>1986</v>
          </cell>
          <cell r="D214">
            <v>1986</v>
          </cell>
          <cell r="E214" t="str">
            <v>-</v>
          </cell>
          <cell r="F214" t="str">
            <v>-</v>
          </cell>
          <cell r="G214" t="str">
            <v>--</v>
          </cell>
          <cell r="H214" t="str">
            <v>--</v>
          </cell>
          <cell r="I214" t="str">
            <v>--</v>
          </cell>
          <cell r="J214" t="str">
            <v>Satisfactory</v>
          </cell>
          <cell r="K214" t="str">
            <v>Satisfactory</v>
          </cell>
          <cell r="L214" t="str">
            <v>Maintain</v>
          </cell>
          <cell r="M214" t="str">
            <v>Maintain</v>
          </cell>
          <cell r="N214" t="str">
            <v>Satisfactory</v>
          </cell>
          <cell r="O214" t="str">
            <v>Too low</v>
          </cell>
          <cell r="P214" t="str">
            <v>Maintain</v>
          </cell>
          <cell r="Q214" t="str">
            <v>Raise</v>
          </cell>
          <cell r="R214">
            <v>96.864999999999995</v>
          </cell>
          <cell r="S214">
            <v>102.31100000000001</v>
          </cell>
          <cell r="T214">
            <v>4.7549999999999999</v>
          </cell>
          <cell r="U214">
            <v>4.9640000000000004</v>
          </cell>
          <cell r="V214">
            <v>5.0570000000000004</v>
          </cell>
          <cell r="W214">
            <v>5.4770000000000003</v>
          </cell>
          <cell r="X214">
            <v>7.4610000000000003</v>
          </cell>
          <cell r="Y214">
            <v>4.9649999999999999</v>
          </cell>
          <cell r="Z214">
            <v>17.463000000000001</v>
          </cell>
          <cell r="AA214">
            <v>14.661000000000001</v>
          </cell>
          <cell r="AB214">
            <v>-0.5</v>
          </cell>
          <cell r="AC214">
            <v>-0.5</v>
          </cell>
          <cell r="AD214">
            <v>-10.002000000000001</v>
          </cell>
          <cell r="AE214">
            <v>-9.6959999999999997</v>
          </cell>
          <cell r="AF214">
            <v>-36.656891495601165</v>
          </cell>
          <cell r="AG214">
            <v>-40.032025620496391</v>
          </cell>
          <cell r="AH214">
            <v>11.858000000000001</v>
          </cell>
          <cell r="AI214">
            <v>17.66</v>
          </cell>
        </row>
        <row r="215">
          <cell r="A215" t="str">
            <v>Uganda</v>
          </cell>
          <cell r="B215">
            <v>800</v>
          </cell>
          <cell r="C215">
            <v>1976</v>
          </cell>
          <cell r="D215">
            <v>1976</v>
          </cell>
          <cell r="E215" t="str">
            <v>-</v>
          </cell>
          <cell r="F215">
            <v>1978</v>
          </cell>
          <cell r="G215">
            <v>1995</v>
          </cell>
          <cell r="H215" t="str">
            <v>--</v>
          </cell>
          <cell r="I215" t="str">
            <v>--</v>
          </cell>
          <cell r="J215" t="str">
            <v>Satisfactory</v>
          </cell>
          <cell r="K215" t="str">
            <v>Satisfactory</v>
          </cell>
          <cell r="L215" t="str">
            <v>Maintain</v>
          </cell>
          <cell r="M215" t="str">
            <v>Maintain</v>
          </cell>
          <cell r="N215" t="str">
            <v>Satisfactory</v>
          </cell>
          <cell r="O215" t="str">
            <v>Satisfactory</v>
          </cell>
          <cell r="P215" t="str">
            <v>No intervention</v>
          </cell>
          <cell r="Q215" t="str">
            <v>No intervention</v>
          </cell>
          <cell r="R215">
            <v>1259.3240000000001</v>
          </cell>
          <cell r="S215">
            <v>1305.2359999999999</v>
          </cell>
          <cell r="T215">
            <v>10390.093000000001</v>
          </cell>
          <cell r="U215">
            <v>14416.388999999999</v>
          </cell>
          <cell r="V215">
            <v>10502.179</v>
          </cell>
          <cell r="W215">
            <v>14399.84</v>
          </cell>
          <cell r="X215">
            <v>30.234000000000005</v>
          </cell>
          <cell r="Y215">
            <v>33.939</v>
          </cell>
          <cell r="Z215">
            <v>30.818000000000005</v>
          </cell>
          <cell r="AA215">
            <v>34.052</v>
          </cell>
          <cell r="AB215">
            <v>-66</v>
          </cell>
          <cell r="AC215">
            <v>-15</v>
          </cell>
          <cell r="AD215">
            <v>-0.58399999999999996</v>
          </cell>
          <cell r="AE215">
            <v>-0.113</v>
          </cell>
          <cell r="AF215">
            <v>-1.1779246217478796</v>
          </cell>
          <cell r="AG215">
            <v>-0.22512739959543107</v>
          </cell>
          <cell r="AH215">
            <v>126949.74799999999</v>
          </cell>
          <cell r="AI215">
            <v>127887.14199999999</v>
          </cell>
        </row>
        <row r="216">
          <cell r="A216" t="str">
            <v>Ukraine</v>
          </cell>
          <cell r="B216">
            <v>804</v>
          </cell>
          <cell r="C216">
            <v>2002</v>
          </cell>
          <cell r="D216">
            <v>2002</v>
          </cell>
          <cell r="E216" t="str">
            <v>-</v>
          </cell>
          <cell r="F216" t="str">
            <v>-</v>
          </cell>
          <cell r="G216" t="str">
            <v>--</v>
          </cell>
          <cell r="H216">
            <v>2004</v>
          </cell>
          <cell r="I216">
            <v>2004</v>
          </cell>
          <cell r="J216" t="str">
            <v>Satisfactory</v>
          </cell>
          <cell r="K216" t="str">
            <v>Satisfactory</v>
          </cell>
          <cell r="L216" t="str">
            <v>No intervention</v>
          </cell>
          <cell r="M216" t="str">
            <v>Maintain</v>
          </cell>
          <cell r="N216" t="str">
            <v>Too high</v>
          </cell>
          <cell r="O216" t="str">
            <v>Too high</v>
          </cell>
          <cell r="P216" t="str">
            <v>Lower</v>
          </cell>
          <cell r="Q216" t="str">
            <v>Lower</v>
          </cell>
          <cell r="R216">
            <v>8976.6310000000012</v>
          </cell>
          <cell r="S216">
            <v>10102.467000000001</v>
          </cell>
          <cell r="T216">
            <v>23931.805</v>
          </cell>
          <cell r="U216">
            <v>21310.078000000001</v>
          </cell>
          <cell r="V216">
            <v>27599.244999999999</v>
          </cell>
          <cell r="W216">
            <v>25170.625</v>
          </cell>
          <cell r="X216">
            <v>-9.597999999999999</v>
          </cell>
          <cell r="Y216">
            <v>-11.027000000000001</v>
          </cell>
          <cell r="Z216">
            <v>-6.8159999999999989</v>
          </cell>
          <cell r="AA216">
            <v>-8.0980000000000008</v>
          </cell>
          <cell r="AB216">
            <v>-700</v>
          </cell>
          <cell r="AC216">
            <v>-700</v>
          </cell>
          <cell r="AD216">
            <v>-2.782</v>
          </cell>
          <cell r="AE216">
            <v>-2.9289999999999998</v>
          </cell>
          <cell r="AF216">
            <v>-32.415331155023075</v>
          </cell>
          <cell r="AG216">
            <v>-35.622684525505846</v>
          </cell>
          <cell r="AH216">
            <v>26392.554</v>
          </cell>
          <cell r="AI216">
            <v>30959.747000000003</v>
          </cell>
        </row>
        <row r="217">
          <cell r="A217" t="str">
            <v>United Arab Emirates</v>
          </cell>
          <cell r="B217">
            <v>784</v>
          </cell>
          <cell r="C217" t="str">
            <v>--</v>
          </cell>
          <cell r="D217" t="str">
            <v>--</v>
          </cell>
          <cell r="E217" t="str">
            <v>-</v>
          </cell>
          <cell r="F217" t="str">
            <v>-</v>
          </cell>
          <cell r="G217" t="str">
            <v>--</v>
          </cell>
          <cell r="H217" t="str">
            <v>--</v>
          </cell>
          <cell r="I217" t="str">
            <v>--</v>
          </cell>
          <cell r="J217" t="str">
            <v>Too high</v>
          </cell>
          <cell r="K217" t="str">
            <v>Too high</v>
          </cell>
          <cell r="L217" t="str">
            <v>Lower</v>
          </cell>
          <cell r="M217" t="str">
            <v>Lower</v>
          </cell>
          <cell r="N217" t="str">
            <v>Satisfactory</v>
          </cell>
          <cell r="O217" t="str">
            <v>Satisfactory</v>
          </cell>
          <cell r="P217" t="str">
            <v>No intervention</v>
          </cell>
          <cell r="Q217" t="str">
            <v>No intervention</v>
          </cell>
          <cell r="R217">
            <v>15.326000000000001</v>
          </cell>
          <cell r="S217">
            <v>26.288</v>
          </cell>
          <cell r="T217">
            <v>1603.7190000000001</v>
          </cell>
          <cell r="U217">
            <v>3062.9540000000002</v>
          </cell>
          <cell r="V217">
            <v>831.21199999999999</v>
          </cell>
          <cell r="W217">
            <v>1432.8689999999999</v>
          </cell>
          <cell r="X217">
            <v>57.168000000000006</v>
          </cell>
          <cell r="Y217">
            <v>64.515000000000001</v>
          </cell>
          <cell r="Z217">
            <v>17.254000000000001</v>
          </cell>
          <cell r="AA217">
            <v>14.921000000000001</v>
          </cell>
          <cell r="AB217">
            <v>566.97799999999995</v>
          </cell>
          <cell r="AC217">
            <v>960</v>
          </cell>
          <cell r="AD217">
            <v>39.914000000000001</v>
          </cell>
          <cell r="AE217">
            <v>49.594000000000001</v>
          </cell>
          <cell r="AF217">
            <v>211.29719899229312</v>
          </cell>
          <cell r="AG217">
            <v>304.97102775236351</v>
          </cell>
          <cell r="AH217">
            <v>9056.2459999999992</v>
          </cell>
          <cell r="AI217">
            <v>6099.732</v>
          </cell>
        </row>
        <row r="218">
          <cell r="A218" t="str">
            <v>United Kingdom</v>
          </cell>
          <cell r="B218">
            <v>826</v>
          </cell>
          <cell r="C218">
            <v>1954</v>
          </cell>
          <cell r="D218">
            <v>1968</v>
          </cell>
          <cell r="E218">
            <v>1951</v>
          </cell>
          <cell r="F218" t="str">
            <v>-</v>
          </cell>
          <cell r="G218" t="str">
            <v>--</v>
          </cell>
          <cell r="H218" t="str">
            <v>--</v>
          </cell>
          <cell r="I218" t="str">
            <v>--</v>
          </cell>
          <cell r="J218" t="str">
            <v>Too high</v>
          </cell>
          <cell r="K218" t="str">
            <v>Satisfactory</v>
          </cell>
          <cell r="L218" t="str">
            <v>Lower</v>
          </cell>
          <cell r="M218" t="str">
            <v>Maintain</v>
          </cell>
          <cell r="N218" t="str">
            <v>Satisfactory</v>
          </cell>
          <cell r="O218" t="str">
            <v>Satisfactory</v>
          </cell>
          <cell r="P218" t="str">
            <v>No intervention</v>
          </cell>
          <cell r="Q218" t="str">
            <v>No intervention</v>
          </cell>
          <cell r="R218">
            <v>9.8120000000000012</v>
          </cell>
          <cell r="S218">
            <v>10.441000000000001</v>
          </cell>
          <cell r="T218">
            <v>27899.651999999998</v>
          </cell>
          <cell r="U218">
            <v>29153.13</v>
          </cell>
          <cell r="V218">
            <v>29770.615000000002</v>
          </cell>
          <cell r="W218">
            <v>30514.714</v>
          </cell>
          <cell r="X218">
            <v>3.4360000000000004</v>
          </cell>
          <cell r="Y218">
            <v>3.3730000000000007</v>
          </cell>
          <cell r="Z218">
            <v>1.4610000000000003</v>
          </cell>
          <cell r="AA218">
            <v>1.0530000000000008</v>
          </cell>
          <cell r="AB218">
            <v>574.47199999999998</v>
          </cell>
          <cell r="AC218">
            <v>686.4</v>
          </cell>
          <cell r="AD218">
            <v>1.9750000000000001</v>
          </cell>
          <cell r="AE218">
            <v>2.3199999999999998</v>
          </cell>
          <cell r="AF218">
            <v>16.090543900896463</v>
          </cell>
          <cell r="AG218">
            <v>20.414408932374592</v>
          </cell>
          <cell r="AH218">
            <v>67143.394</v>
          </cell>
          <cell r="AI218">
            <v>57366.91</v>
          </cell>
        </row>
        <row r="219">
          <cell r="A219" t="str">
            <v>United Republic of Tanzania</v>
          </cell>
          <cell r="B219">
            <v>834</v>
          </cell>
          <cell r="C219">
            <v>1964</v>
          </cell>
          <cell r="D219">
            <v>1968</v>
          </cell>
          <cell r="E219">
            <v>1966</v>
          </cell>
          <cell r="F219">
            <v>1991</v>
          </cell>
          <cell r="G219" t="str">
            <v>--</v>
          </cell>
          <cell r="H219" t="str">
            <v>--</v>
          </cell>
          <cell r="I219" t="str">
            <v>--</v>
          </cell>
          <cell r="J219" t="str">
            <v>Satisfactory</v>
          </cell>
          <cell r="K219" t="str">
            <v>Satisfactory</v>
          </cell>
          <cell r="L219" t="str">
            <v>Lower</v>
          </cell>
          <cell r="M219" t="str">
            <v>No intervention</v>
          </cell>
          <cell r="N219" t="str">
            <v>Too high</v>
          </cell>
          <cell r="O219" t="str">
            <v>Satisfactory</v>
          </cell>
          <cell r="P219" t="str">
            <v>Lower</v>
          </cell>
          <cell r="Q219" t="str">
            <v>No intervention</v>
          </cell>
          <cell r="R219">
            <v>20892.272000000001</v>
          </cell>
          <cell r="S219">
            <v>28816.228999999999</v>
          </cell>
          <cell r="T219">
            <v>15313.946</v>
          </cell>
          <cell r="U219">
            <v>19070.523000000001</v>
          </cell>
          <cell r="V219">
            <v>15615.605</v>
          </cell>
          <cell r="W219">
            <v>19258.286</v>
          </cell>
          <cell r="X219">
            <v>23.34</v>
          </cell>
          <cell r="Y219">
            <v>19.515000000000001</v>
          </cell>
          <cell r="Z219">
            <v>24.593999999999998</v>
          </cell>
          <cell r="AA219">
            <v>21.402999999999999</v>
          </cell>
          <cell r="AB219">
            <v>-205.875</v>
          </cell>
          <cell r="AC219">
            <v>-345</v>
          </cell>
          <cell r="AD219">
            <v>-1.254</v>
          </cell>
          <cell r="AE219">
            <v>-1.8879999999999999</v>
          </cell>
          <cell r="AF219">
            <v>-3.1210134595837284</v>
          </cell>
          <cell r="AG219">
            <v>-4.9572626484197251</v>
          </cell>
          <cell r="AH219">
            <v>66844.875</v>
          </cell>
          <cell r="AI219">
            <v>67446.59599999999</v>
          </cell>
        </row>
        <row r="220">
          <cell r="A220" t="str">
            <v>United States of America</v>
          </cell>
          <cell r="B220">
            <v>840</v>
          </cell>
          <cell r="C220" t="str">
            <v>--</v>
          </cell>
          <cell r="D220">
            <v>1968</v>
          </cell>
          <cell r="E220" t="str">
            <v>-</v>
          </cell>
          <cell r="F220" t="str">
            <v>-</v>
          </cell>
          <cell r="G220" t="str">
            <v>--</v>
          </cell>
          <cell r="H220">
            <v>2005</v>
          </cell>
          <cell r="I220">
            <v>2005</v>
          </cell>
          <cell r="J220" t="str">
            <v>Satisfactory</v>
          </cell>
          <cell r="K220" t="str">
            <v>Satisfactory</v>
          </cell>
          <cell r="L220" t="str">
            <v>Maintain</v>
          </cell>
          <cell r="M220" t="str">
            <v>Maintain</v>
          </cell>
          <cell r="N220" t="str">
            <v>Satisfactory</v>
          </cell>
          <cell r="O220" t="str">
            <v>Satisfactory</v>
          </cell>
          <cell r="P220" t="str">
            <v>No intervention</v>
          </cell>
          <cell r="Q220" t="str">
            <v>No intervention</v>
          </cell>
          <cell r="R220">
            <v>51531.05</v>
          </cell>
          <cell r="S220">
            <v>46480.703000000001</v>
          </cell>
          <cell r="T220">
            <v>132387.94500000001</v>
          </cell>
          <cell r="U220">
            <v>146680.16500000001</v>
          </cell>
          <cell r="V220">
            <v>137214.82999999999</v>
          </cell>
          <cell r="W220">
            <v>151532.73000000001</v>
          </cell>
          <cell r="X220">
            <v>10.512</v>
          </cell>
          <cell r="Y220">
            <v>9.657</v>
          </cell>
          <cell r="Z220">
            <v>6.0329999999999995</v>
          </cell>
          <cell r="AA220">
            <v>5.673</v>
          </cell>
          <cell r="AB220">
            <v>6200</v>
          </cell>
          <cell r="AC220">
            <v>5800</v>
          </cell>
          <cell r="AD220">
            <v>4.4790000000000001</v>
          </cell>
          <cell r="AE220">
            <v>3.984</v>
          </cell>
          <cell r="AF220">
            <v>31.205744152056131</v>
          </cell>
          <cell r="AG220">
            <v>28.36464888379238</v>
          </cell>
          <cell r="AH220">
            <v>394976.48499999999</v>
          </cell>
          <cell r="AI220">
            <v>321765.59999999998</v>
          </cell>
        </row>
        <row r="221">
          <cell r="A221" t="str">
            <v>United States Virgin Islands</v>
          </cell>
          <cell r="B221">
            <v>850</v>
          </cell>
          <cell r="C221" t="str">
            <v>-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  <cell r="K221" t="str">
            <v>-</v>
          </cell>
          <cell r="L221" t="str">
            <v>-</v>
          </cell>
          <cell r="M221" t="str">
            <v>-</v>
          </cell>
          <cell r="N221" t="str">
            <v>-</v>
          </cell>
          <cell r="O221" t="str">
            <v>-</v>
          </cell>
          <cell r="P221" t="str">
            <v>-</v>
          </cell>
          <cell r="Q221" t="str">
            <v>-</v>
          </cell>
          <cell r="R221">
            <v>57670.267</v>
          </cell>
          <cell r="S221">
            <v>59667.843999999997</v>
          </cell>
          <cell r="T221">
            <v>51.502000000000002</v>
          </cell>
          <cell r="U221">
            <v>53.182000000000002</v>
          </cell>
          <cell r="V221">
            <v>55.838000000000001</v>
          </cell>
          <cell r="W221">
            <v>58.636000000000003</v>
          </cell>
          <cell r="X221">
            <v>6.5230000000000006</v>
          </cell>
          <cell r="Y221">
            <v>1.6510000000000007</v>
          </cell>
          <cell r="Z221">
            <v>11.954000000000001</v>
          </cell>
          <cell r="AA221">
            <v>8.8350000000000009</v>
          </cell>
          <cell r="AB221">
            <v>-2.9630000000000001</v>
          </cell>
          <cell r="AC221">
            <v>-4</v>
          </cell>
          <cell r="AD221">
            <v>-5.431</v>
          </cell>
          <cell r="AE221">
            <v>-7.1840000000000002</v>
          </cell>
          <cell r="AF221">
            <v>-31.628949615713065</v>
          </cell>
          <cell r="AG221">
            <v>-49.267151126986079</v>
          </cell>
          <cell r="AH221">
            <v>82.295000000000002</v>
          </cell>
          <cell r="AI221">
            <v>133.114</v>
          </cell>
        </row>
        <row r="222">
          <cell r="A222" t="str">
            <v>Uruguay</v>
          </cell>
          <cell r="B222">
            <v>858</v>
          </cell>
          <cell r="C222">
            <v>1970</v>
          </cell>
          <cell r="D222">
            <v>1970</v>
          </cell>
          <cell r="E222">
            <v>1953</v>
          </cell>
          <cell r="F222" t="str">
            <v>-</v>
          </cell>
          <cell r="G222">
            <v>2001</v>
          </cell>
          <cell r="H222">
            <v>2005</v>
          </cell>
          <cell r="I222">
            <v>2005</v>
          </cell>
          <cell r="J222" t="str">
            <v>Too low</v>
          </cell>
          <cell r="K222" t="str">
            <v>Satisfactory</v>
          </cell>
          <cell r="L222" t="str">
            <v>Raise</v>
          </cell>
          <cell r="M222" t="str">
            <v>Maintain</v>
          </cell>
          <cell r="N222" t="str">
            <v>Too high</v>
          </cell>
          <cell r="O222" t="str">
            <v>Too high</v>
          </cell>
          <cell r="P222" t="str">
            <v>Lower</v>
          </cell>
          <cell r="Q222" t="str">
            <v>No intervention</v>
          </cell>
          <cell r="R222">
            <v>30929.550999999999</v>
          </cell>
          <cell r="S222">
            <v>38328.809000000001</v>
          </cell>
          <cell r="T222">
            <v>1560.606</v>
          </cell>
          <cell r="U222">
            <v>1680.25</v>
          </cell>
          <cell r="V222">
            <v>1657.587</v>
          </cell>
          <cell r="W222">
            <v>1782.9469999999999</v>
          </cell>
          <cell r="X222">
            <v>7.524</v>
          </cell>
          <cell r="Y222">
            <v>7.1480000000000006</v>
          </cell>
          <cell r="Z222">
            <v>8.5</v>
          </cell>
          <cell r="AA222">
            <v>7.7360000000000007</v>
          </cell>
          <cell r="AB222">
            <v>-16</v>
          </cell>
          <cell r="AC222">
            <v>-10</v>
          </cell>
          <cell r="AD222">
            <v>-0.97599999999999998</v>
          </cell>
          <cell r="AE222">
            <v>-0.58799999999999997</v>
          </cell>
          <cell r="AF222">
            <v>-5.5321782606140024</v>
          </cell>
          <cell r="AG222">
            <v>-3.4921932020967126</v>
          </cell>
          <cell r="AH222">
            <v>4043.261</v>
          </cell>
          <cell r="AI222">
            <v>4169.5360000000001</v>
          </cell>
        </row>
        <row r="223">
          <cell r="A223" t="str">
            <v>Uzbekistan</v>
          </cell>
          <cell r="B223">
            <v>860</v>
          </cell>
          <cell r="C223" t="str">
            <v>--</v>
          </cell>
          <cell r="D223" t="str">
            <v>--</v>
          </cell>
          <cell r="E223" t="str">
            <v>-</v>
          </cell>
          <cell r="F223" t="str">
            <v>-</v>
          </cell>
          <cell r="G223" t="str">
            <v>--</v>
          </cell>
          <cell r="H223" t="str">
            <v>--</v>
          </cell>
          <cell r="I223" t="str">
            <v>--</v>
          </cell>
          <cell r="J223" t="str">
            <v>Satisfactory</v>
          </cell>
          <cell r="K223" t="str">
            <v>Satisfactory</v>
          </cell>
          <cell r="L223" t="str">
            <v>No intervention</v>
          </cell>
          <cell r="M223" t="str">
            <v>Maintain</v>
          </cell>
          <cell r="N223" t="str">
            <v>Too high</v>
          </cell>
          <cell r="O223" t="str">
            <v>Satisfactory</v>
          </cell>
          <cell r="P223" t="str">
            <v>No intervention</v>
          </cell>
          <cell r="Q223" t="str">
            <v>Maintain</v>
          </cell>
          <cell r="R223">
            <v>269602.77500000002</v>
          </cell>
          <cell r="S223">
            <v>298212.89500000002</v>
          </cell>
          <cell r="T223">
            <v>11370.632</v>
          </cell>
          <cell r="U223">
            <v>13224.174999999999</v>
          </cell>
          <cell r="V223">
            <v>11547.814</v>
          </cell>
          <cell r="W223">
            <v>13368.948</v>
          </cell>
          <cell r="X223">
            <v>15.155999999999999</v>
          </cell>
          <cell r="Y223">
            <v>14.573</v>
          </cell>
          <cell r="Z223">
            <v>18.513999999999999</v>
          </cell>
          <cell r="AA223">
            <v>16.911000000000001</v>
          </cell>
          <cell r="AB223">
            <v>-400</v>
          </cell>
          <cell r="AC223">
            <v>-300</v>
          </cell>
          <cell r="AD223">
            <v>-3.3580000000000001</v>
          </cell>
          <cell r="AE223">
            <v>-2.3380000000000001</v>
          </cell>
          <cell r="AF223">
            <v>-13.30805246965847</v>
          </cell>
          <cell r="AG223">
            <v>-9.8808859202316075</v>
          </cell>
          <cell r="AH223">
            <v>38665.303</v>
          </cell>
          <cell r="AI223">
            <v>39963.449999999997</v>
          </cell>
        </row>
        <row r="224">
          <cell r="A224" t="str">
            <v>Vanuatu</v>
          </cell>
          <cell r="B224">
            <v>548</v>
          </cell>
          <cell r="C224" t="str">
            <v>--</v>
          </cell>
          <cell r="D224" t="str">
            <v>--</v>
          </cell>
          <cell r="E224" t="str">
            <v>-</v>
          </cell>
          <cell r="F224" t="str">
            <v>-</v>
          </cell>
          <cell r="G224" t="str">
            <v>--</v>
          </cell>
          <cell r="H224" t="str">
            <v>--</v>
          </cell>
          <cell r="I224" t="str">
            <v>--</v>
          </cell>
          <cell r="J224" t="str">
            <v>Satisfactory</v>
          </cell>
          <cell r="K224" t="str">
            <v>Satisfactory</v>
          </cell>
          <cell r="L224" t="str">
            <v>No intervention</v>
          </cell>
          <cell r="M224" t="str">
            <v>No intervention</v>
          </cell>
          <cell r="N224" t="str">
            <v>Satisfactory</v>
          </cell>
          <cell r="O224" t="str">
            <v>Satisfactory</v>
          </cell>
          <cell r="P224" t="str">
            <v>No intervention</v>
          </cell>
          <cell r="Q224" t="str">
            <v>No intervention</v>
          </cell>
          <cell r="R224">
            <v>107.34</v>
          </cell>
          <cell r="S224">
            <v>111.81800000000001</v>
          </cell>
          <cell r="T224">
            <v>88.460999999999999</v>
          </cell>
          <cell r="U224">
            <v>107.74</v>
          </cell>
          <cell r="V224">
            <v>83.759</v>
          </cell>
          <cell r="W224">
            <v>103.627</v>
          </cell>
          <cell r="X224">
            <v>21.158000000000001</v>
          </cell>
          <cell r="Y224">
            <v>19.77</v>
          </cell>
          <cell r="Z224">
            <v>27.42</v>
          </cell>
          <cell r="AA224">
            <v>25.728000000000002</v>
          </cell>
          <cell r="AB224">
            <v>-5.6929999999999996</v>
          </cell>
          <cell r="AC224">
            <v>-6</v>
          </cell>
          <cell r="AD224">
            <v>-6.2619999999999996</v>
          </cell>
          <cell r="AE224">
            <v>-5.9580000000000002</v>
          </cell>
          <cell r="AF224">
            <v>-18.378744834710741</v>
          </cell>
          <cell r="AG224">
            <v>-18.977132555270899</v>
          </cell>
          <cell r="AH224">
            <v>374.95600000000002</v>
          </cell>
          <cell r="AI224">
            <v>444.21</v>
          </cell>
        </row>
        <row r="225">
          <cell r="A225" t="str">
            <v>Venezuela</v>
          </cell>
          <cell r="B225">
            <v>862</v>
          </cell>
          <cell r="C225" t="str">
            <v>--</v>
          </cell>
          <cell r="D225">
            <v>1986</v>
          </cell>
          <cell r="E225">
            <v>1963</v>
          </cell>
          <cell r="F225">
            <v>1963</v>
          </cell>
          <cell r="G225" t="str">
            <v>--</v>
          </cell>
          <cell r="H225">
            <v>2002</v>
          </cell>
          <cell r="I225">
            <v>2005</v>
          </cell>
          <cell r="J225" t="str">
            <v>Satisfactory</v>
          </cell>
          <cell r="K225" t="str">
            <v>Satisfactory</v>
          </cell>
          <cell r="L225" t="str">
            <v>No intervention</v>
          </cell>
          <cell r="M225" t="str">
            <v>Maintain</v>
          </cell>
          <cell r="N225" t="str">
            <v>Satisfactory</v>
          </cell>
          <cell r="O225" t="str">
            <v>Satisfactory</v>
          </cell>
          <cell r="P225" t="str">
            <v>No intervention</v>
          </cell>
          <cell r="Q225" t="str">
            <v>No intervention</v>
          </cell>
          <cell r="R225">
            <v>3218.1930000000002</v>
          </cell>
          <cell r="S225">
            <v>3463.1970000000001</v>
          </cell>
          <cell r="T225">
            <v>11131.538</v>
          </cell>
          <cell r="U225">
            <v>13442.079</v>
          </cell>
          <cell r="V225">
            <v>10955.558000000001</v>
          </cell>
          <cell r="W225">
            <v>13307.035</v>
          </cell>
          <cell r="X225">
            <v>20.045999999999999</v>
          </cell>
          <cell r="Y225">
            <v>18.225999999999996</v>
          </cell>
          <cell r="Z225">
            <v>19.701999999999998</v>
          </cell>
          <cell r="AA225">
            <v>17.912999999999997</v>
          </cell>
          <cell r="AB225">
            <v>40</v>
          </cell>
          <cell r="AC225">
            <v>40</v>
          </cell>
          <cell r="AD225">
            <v>0.34399999999999997</v>
          </cell>
          <cell r="AE225">
            <v>0.313</v>
          </cell>
          <cell r="AF225">
            <v>1.4051234313114194</v>
          </cell>
          <cell r="AG225">
            <v>1.367779024356383</v>
          </cell>
          <cell r="AH225">
            <v>41991.159</v>
          </cell>
          <cell r="AI225">
            <v>41492.675000000003</v>
          </cell>
        </row>
        <row r="226">
          <cell r="A226" t="str">
            <v>Viet Nam</v>
          </cell>
          <cell r="B226">
            <v>704</v>
          </cell>
          <cell r="C226" t="str">
            <v>--</v>
          </cell>
          <cell r="D226" t="str">
            <v>--</v>
          </cell>
          <cell r="E226" t="str">
            <v>-</v>
          </cell>
          <cell r="F226" t="str">
            <v>-</v>
          </cell>
          <cell r="G226" t="str">
            <v>--</v>
          </cell>
          <cell r="H226" t="str">
            <v>--</v>
          </cell>
          <cell r="I226" t="str">
            <v>--</v>
          </cell>
          <cell r="J226" t="str">
            <v>Satisfactory</v>
          </cell>
          <cell r="K226" t="str">
            <v>Satisfactory</v>
          </cell>
          <cell r="L226" t="str">
            <v>Lower</v>
          </cell>
          <cell r="M226" t="str">
            <v>Maintain</v>
          </cell>
          <cell r="N226" t="str">
            <v>Satisfactory</v>
          </cell>
          <cell r="O226" t="str">
            <v>Too low</v>
          </cell>
          <cell r="P226" t="str">
            <v>No intervention</v>
          </cell>
          <cell r="Q226" t="str">
            <v>Raise</v>
          </cell>
          <cell r="R226">
            <v>172.22</v>
          </cell>
          <cell r="S226">
            <v>211.36699999999999</v>
          </cell>
          <cell r="T226">
            <v>36504.144</v>
          </cell>
          <cell r="U226">
            <v>42067.563000000002</v>
          </cell>
          <cell r="V226">
            <v>36659.305999999997</v>
          </cell>
          <cell r="W226">
            <v>42170.667999999998</v>
          </cell>
          <cell r="X226">
            <v>14.51</v>
          </cell>
          <cell r="Y226">
            <v>13.669</v>
          </cell>
          <cell r="Z226">
            <v>15.036999999999999</v>
          </cell>
          <cell r="AA226">
            <v>14.16</v>
          </cell>
          <cell r="AB226">
            <v>-200</v>
          </cell>
          <cell r="AC226">
            <v>-200</v>
          </cell>
          <cell r="AD226">
            <v>-0.52700000000000002</v>
          </cell>
          <cell r="AE226">
            <v>-0.49099999999999999</v>
          </cell>
          <cell r="AF226">
            <v>-2.4576168612177614</v>
          </cell>
          <cell r="AG226">
            <v>-2.4258820264459953</v>
          </cell>
          <cell r="AH226">
            <v>116654.202</v>
          </cell>
          <cell r="AI226">
            <v>118907.33199999999</v>
          </cell>
        </row>
        <row r="227">
          <cell r="A227" t="str">
            <v>Wallis and Futuna Islands</v>
          </cell>
          <cell r="B227">
            <v>876</v>
          </cell>
          <cell r="C227" t="str">
            <v>-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-</v>
          </cell>
          <cell r="H227" t="str">
            <v>-</v>
          </cell>
          <cell r="I227" t="str">
            <v>-</v>
          </cell>
          <cell r="J227" t="str">
            <v>-</v>
          </cell>
          <cell r="K227" t="str">
            <v>-</v>
          </cell>
          <cell r="L227" t="str">
            <v>-</v>
          </cell>
          <cell r="M227" t="str">
            <v>-</v>
          </cell>
          <cell r="N227" t="str">
            <v>-</v>
          </cell>
          <cell r="O227" t="str">
            <v>-</v>
          </cell>
          <cell r="P227" t="str">
            <v>-</v>
          </cell>
          <cell r="Q227" t="str">
            <v>-</v>
          </cell>
          <cell r="R227">
            <v>22087.096000000001</v>
          </cell>
          <cell r="S227">
            <v>26749.114000000001</v>
          </cell>
          <cell r="T227">
            <v>7.0609999999999999</v>
          </cell>
          <cell r="U227">
            <v>7.6210000000000004</v>
          </cell>
          <cell r="V227">
            <v>7.2670000000000003</v>
          </cell>
          <cell r="W227">
            <v>7.859</v>
          </cell>
          <cell r="X227">
            <v>8.9520000000000017</v>
          </cell>
          <cell r="Y227">
            <v>6.5129999999999999</v>
          </cell>
          <cell r="Z227">
            <v>18.504000000000001</v>
          </cell>
          <cell r="AA227">
            <v>15.704000000000001</v>
          </cell>
          <cell r="AB227">
            <v>-0.7</v>
          </cell>
          <cell r="AC227">
            <v>-0.7</v>
          </cell>
          <cell r="AD227">
            <v>-9.5519999999999996</v>
          </cell>
          <cell r="AE227">
            <v>-9.1910000000000007</v>
          </cell>
          <cell r="AF227">
            <v>-37.293553542887587</v>
          </cell>
          <cell r="AG227">
            <v>-41.395623891188642</v>
          </cell>
          <cell r="AH227">
            <v>24.872999999999998</v>
          </cell>
          <cell r="AI227">
            <v>24.872999999999998</v>
          </cell>
        </row>
        <row r="228">
          <cell r="A228" t="str">
            <v>Western Sahara</v>
          </cell>
          <cell r="B228">
            <v>732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  <cell r="P228" t="str">
            <v>-</v>
          </cell>
          <cell r="Q228" t="str">
            <v>-</v>
          </cell>
          <cell r="R228">
            <v>14.327999999999999</v>
          </cell>
          <cell r="S228">
            <v>15.48</v>
          </cell>
          <cell r="T228">
            <v>135.59800000000001</v>
          </cell>
          <cell r="U228">
            <v>176.45099999999999</v>
          </cell>
          <cell r="V228">
            <v>123.857</v>
          </cell>
          <cell r="W228">
            <v>164.97</v>
          </cell>
          <cell r="X228">
            <v>28.701000000000001</v>
          </cell>
          <cell r="Y228">
            <v>26.119</v>
          </cell>
          <cell r="Z228">
            <v>21.545999999999999</v>
          </cell>
          <cell r="AA228">
            <v>19.879000000000001</v>
          </cell>
          <cell r="AB228">
            <v>10</v>
          </cell>
          <cell r="AC228">
            <v>10</v>
          </cell>
          <cell r="AD228">
            <v>7.1550000000000002</v>
          </cell>
          <cell r="AE228">
            <v>6.24</v>
          </cell>
          <cell r="AF228">
            <v>23.726481125584264</v>
          </cell>
          <cell r="AG228">
            <v>22.665971576871645</v>
          </cell>
          <cell r="AH228">
            <v>895.803</v>
          </cell>
          <cell r="AI228">
            <v>612.82000000000005</v>
          </cell>
        </row>
        <row r="229">
          <cell r="A229" t="str">
            <v>Yemen</v>
          </cell>
          <cell r="B229">
            <v>887</v>
          </cell>
          <cell r="C229">
            <v>1980</v>
          </cell>
          <cell r="D229">
            <v>1980</v>
          </cell>
          <cell r="E229" t="str">
            <v>-</v>
          </cell>
          <cell r="F229" t="str">
            <v>-</v>
          </cell>
          <cell r="G229" t="str">
            <v>--</v>
          </cell>
          <cell r="H229" t="str">
            <v>--</v>
          </cell>
          <cell r="I229" t="str">
            <v>--</v>
          </cell>
          <cell r="J229" t="str">
            <v>Too high</v>
          </cell>
          <cell r="K229" t="str">
            <v>Too high</v>
          </cell>
          <cell r="L229" t="str">
            <v>Lower</v>
          </cell>
          <cell r="M229" t="str">
            <v>Lower</v>
          </cell>
          <cell r="N229" t="str">
            <v>Satisfactory</v>
          </cell>
          <cell r="O229" t="str">
            <v>Satisfactory</v>
          </cell>
          <cell r="P229" t="str">
            <v>Raise</v>
          </cell>
          <cell r="Q229" t="str">
            <v>Raise</v>
          </cell>
          <cell r="R229">
            <v>259.45499999999998</v>
          </cell>
          <cell r="S229">
            <v>341.42099999999999</v>
          </cell>
          <cell r="T229">
            <v>7731.3310000000001</v>
          </cell>
          <cell r="U229">
            <v>10634.748</v>
          </cell>
          <cell r="V229">
            <v>7487.3389999999999</v>
          </cell>
          <cell r="W229">
            <v>10339.906999999999</v>
          </cell>
          <cell r="X229">
            <v>32.790999999999997</v>
          </cell>
          <cell r="Y229">
            <v>31.231000000000002</v>
          </cell>
          <cell r="Z229">
            <v>33.393999999999998</v>
          </cell>
          <cell r="AA229">
            <v>32.259</v>
          </cell>
          <cell r="AB229">
            <v>-50</v>
          </cell>
          <cell r="AC229">
            <v>-100</v>
          </cell>
          <cell r="AD229">
            <v>-0.60299999999999998</v>
          </cell>
          <cell r="AE229">
            <v>-1.028</v>
          </cell>
          <cell r="AF229">
            <v>-1.3777270039452589</v>
          </cell>
          <cell r="AG229">
            <v>-2.5094235126458635</v>
          </cell>
          <cell r="AH229">
            <v>59453.815999999999</v>
          </cell>
          <cell r="AI229">
            <v>60803.122000000003</v>
          </cell>
        </row>
        <row r="230">
          <cell r="A230" t="str">
            <v>Zambia</v>
          </cell>
          <cell r="B230">
            <v>894</v>
          </cell>
          <cell r="C230">
            <v>1969</v>
          </cell>
          <cell r="D230">
            <v>1969</v>
          </cell>
          <cell r="E230">
            <v>1964</v>
          </cell>
          <cell r="F230" t="str">
            <v>-</v>
          </cell>
          <cell r="G230" t="str">
            <v>--</v>
          </cell>
          <cell r="H230">
            <v>2005</v>
          </cell>
          <cell r="I230">
            <v>2005</v>
          </cell>
          <cell r="J230" t="str">
            <v>Too high</v>
          </cell>
          <cell r="K230" t="str">
            <v>Satisfactory</v>
          </cell>
          <cell r="L230" t="str">
            <v>Lower</v>
          </cell>
          <cell r="M230" t="str">
            <v>Raise</v>
          </cell>
          <cell r="N230" t="str">
            <v>Satisfactory</v>
          </cell>
          <cell r="O230" t="str">
            <v>Satisfactory</v>
          </cell>
          <cell r="P230" t="str">
            <v>No intervention</v>
          </cell>
          <cell r="Q230" t="str">
            <v>Lower</v>
          </cell>
          <cell r="R230">
            <v>9559.42</v>
          </cell>
          <cell r="S230">
            <v>11668.457</v>
          </cell>
          <cell r="T230">
            <v>4748.1779999999999</v>
          </cell>
          <cell r="U230">
            <v>5842.6570000000002</v>
          </cell>
          <cell r="V230">
            <v>4811.2420000000002</v>
          </cell>
          <cell r="W230">
            <v>5825.8</v>
          </cell>
          <cell r="X230">
            <v>22.558</v>
          </cell>
          <cell r="Y230">
            <v>17.279</v>
          </cell>
          <cell r="Z230">
            <v>20.855999999999998</v>
          </cell>
          <cell r="AA230">
            <v>18.440999999999999</v>
          </cell>
          <cell r="AB230">
            <v>86.209000000000003</v>
          </cell>
          <cell r="AC230">
            <v>-65</v>
          </cell>
          <cell r="AD230">
            <v>1.702</v>
          </cell>
          <cell r="AE230">
            <v>-1.1619999999999999</v>
          </cell>
          <cell r="AF230">
            <v>3.9595761215637499</v>
          </cell>
          <cell r="AG230">
            <v>-2.8166865712517706</v>
          </cell>
          <cell r="AH230">
            <v>22780.981</v>
          </cell>
          <cell r="AI230">
            <v>23089.59</v>
          </cell>
        </row>
        <row r="231">
          <cell r="A231" t="str">
            <v>Zimbabwe</v>
          </cell>
          <cell r="B231">
            <v>716</v>
          </cell>
          <cell r="C231">
            <v>1981</v>
          </cell>
          <cell r="D231">
            <v>1981</v>
          </cell>
          <cell r="E231" t="str">
            <v>-</v>
          </cell>
          <cell r="F231" t="str">
            <v>-</v>
          </cell>
          <cell r="G231" t="str">
            <v>--</v>
          </cell>
          <cell r="H231" t="str">
            <v>--</v>
          </cell>
          <cell r="I231" t="str">
            <v>--</v>
          </cell>
          <cell r="J231" t="str">
            <v>Satisfactory</v>
          </cell>
          <cell r="K231" t="str">
            <v>Satisfactory</v>
          </cell>
          <cell r="L231" t="str">
            <v>Lower</v>
          </cell>
          <cell r="M231" t="str">
            <v>No intervention</v>
          </cell>
          <cell r="N231" t="str">
            <v>Too high</v>
          </cell>
          <cell r="O231" t="str">
            <v>Too high</v>
          </cell>
          <cell r="P231" t="str">
            <v>Lower</v>
          </cell>
          <cell r="Q231" t="str">
            <v>Lower</v>
          </cell>
          <cell r="R231">
            <v>11819.621999999999</v>
          </cell>
          <cell r="S231">
            <v>13009.534</v>
          </cell>
          <cell r="T231">
            <v>5842.4290000000001</v>
          </cell>
          <cell r="U231">
            <v>6452.7079999999996</v>
          </cell>
          <cell r="V231">
            <v>5977.1930000000002</v>
          </cell>
          <cell r="W231">
            <v>6556.826</v>
          </cell>
          <cell r="X231">
            <v>12.705</v>
          </cell>
          <cell r="Y231">
            <v>6.4749999999999996</v>
          </cell>
          <cell r="Z231">
            <v>14.753</v>
          </cell>
          <cell r="AA231">
            <v>7.2560000000000002</v>
          </cell>
          <cell r="AB231">
            <v>-125</v>
          </cell>
          <cell r="AC231">
            <v>-50</v>
          </cell>
          <cell r="AD231">
            <v>-2.048</v>
          </cell>
          <cell r="AE231">
            <v>-0.78100000000000003</v>
          </cell>
          <cell r="AF231">
            <v>-6.3820770852798674</v>
          </cell>
          <cell r="AG231">
            <v>-2.6039103442421552</v>
          </cell>
          <cell r="AH231">
            <v>15804.648000000001</v>
          </cell>
          <cell r="AI231">
            <v>15891.11</v>
          </cell>
        </row>
      </sheetData>
      <sheetData sheetId="2" refreshError="1"/>
      <sheetData sheetId="3" refreshError="1"/>
      <sheetData sheetId="4">
        <row r="4">
          <cell r="A4" t="str">
            <v>Afghanistan</v>
          </cell>
          <cell r="B4">
            <v>4</v>
          </cell>
          <cell r="C4">
            <v>20669.205999999998</v>
          </cell>
          <cell r="D4">
            <v>29863.004999999997</v>
          </cell>
          <cell r="E4">
            <v>10670.112999999999</v>
          </cell>
          <cell r="F4">
            <v>15404.07</v>
          </cell>
          <cell r="G4">
            <v>9999.0930000000008</v>
          </cell>
          <cell r="H4">
            <v>14458.934999999999</v>
          </cell>
          <cell r="I4">
            <v>27.614999999999998</v>
          </cell>
          <cell r="J4">
            <v>45.734999999999999</v>
          </cell>
          <cell r="K4">
            <v>31.192</v>
          </cell>
          <cell r="L4">
            <v>29.761999999999997</v>
          </cell>
          <cell r="M4">
            <v>-397.12099999999998</v>
          </cell>
          <cell r="N4">
            <v>2140.2339999999999</v>
          </cell>
          <cell r="O4">
            <v>-3.577</v>
          </cell>
          <cell r="P4">
            <v>15.973000000000001</v>
          </cell>
          <cell r="Q4">
            <v>-6.9408813596766432</v>
          </cell>
          <cell r="R4">
            <v>32.368220544434436</v>
          </cell>
          <cell r="S4">
            <v>97324.385999999999</v>
          </cell>
          <cell r="T4">
            <v>95749.4</v>
          </cell>
        </row>
        <row r="5">
          <cell r="A5" t="str">
            <v>Albania</v>
          </cell>
          <cell r="B5">
            <v>8</v>
          </cell>
          <cell r="C5">
            <v>3226.9790000000003</v>
          </cell>
          <cell r="D5">
            <v>3016.3119999999999</v>
          </cell>
          <cell r="E5">
            <v>1578.711</v>
          </cell>
          <cell r="F5">
            <v>1551.694</v>
          </cell>
          <cell r="G5">
            <v>1554.354</v>
          </cell>
          <cell r="H5">
            <v>1577.9839999999999</v>
          </cell>
          <cell r="I5">
            <v>-4.6029999999999998</v>
          </cell>
          <cell r="J5">
            <v>4.386000000000001</v>
          </cell>
          <cell r="K5">
            <v>12.648999999999999</v>
          </cell>
          <cell r="L5">
            <v>10.847000000000001</v>
          </cell>
          <cell r="M5">
            <v>-267.19</v>
          </cell>
          <cell r="N5">
            <v>-100</v>
          </cell>
          <cell r="O5">
            <v>-17.251999999999999</v>
          </cell>
          <cell r="P5">
            <v>-6.4610000000000003</v>
          </cell>
          <cell r="Q5">
            <v>-91.475856591164302</v>
          </cell>
          <cell r="R5">
            <v>-37.505860290670419</v>
          </cell>
          <cell r="S5">
            <v>3458.1010000000001</v>
          </cell>
          <cell r="T5">
            <v>4124.1059999999998</v>
          </cell>
        </row>
        <row r="6">
          <cell r="A6" t="str">
            <v>Algeria</v>
          </cell>
          <cell r="B6">
            <v>12</v>
          </cell>
          <cell r="C6">
            <v>7791.299</v>
          </cell>
          <cell r="D6">
            <v>8410.8009999999995</v>
          </cell>
          <cell r="E6">
            <v>14255.065000000001</v>
          </cell>
          <cell r="F6">
            <v>16576.662</v>
          </cell>
          <cell r="G6">
            <v>14015.715</v>
          </cell>
          <cell r="H6">
            <v>16277.136</v>
          </cell>
          <cell r="I6">
            <v>14.931000000000001</v>
          </cell>
          <cell r="J6">
            <v>15.103</v>
          </cell>
          <cell r="K6">
            <v>16.190000000000001</v>
          </cell>
          <cell r="L6">
            <v>15.734999999999999</v>
          </cell>
          <cell r="M6">
            <v>-184.875</v>
          </cell>
          <cell r="N6">
            <v>-100</v>
          </cell>
          <cell r="O6">
            <v>-1.2589999999999999</v>
          </cell>
          <cell r="P6">
            <v>-0.63200000000000001</v>
          </cell>
          <cell r="Q6">
            <v>-5.8316418023440129</v>
          </cell>
          <cell r="R6">
            <v>-3.0423960938068073</v>
          </cell>
          <cell r="S6">
            <v>49500.14</v>
          </cell>
          <cell r="T6">
            <v>50946.332999999999</v>
          </cell>
        </row>
        <row r="7">
          <cell r="A7" t="str">
            <v>American Samoa</v>
          </cell>
          <cell r="B7">
            <v>16</v>
          </cell>
          <cell r="C7">
            <v>584.18700000000001</v>
          </cell>
          <cell r="D7">
            <v>726.61699999999996</v>
          </cell>
          <cell r="E7">
            <v>27.119</v>
          </cell>
          <cell r="F7">
            <v>33.020000000000003</v>
          </cell>
          <cell r="G7">
            <v>25.898</v>
          </cell>
          <cell r="H7">
            <v>31.849</v>
          </cell>
          <cell r="I7">
            <v>17.206</v>
          </cell>
          <cell r="J7">
            <v>23.108999999999998</v>
          </cell>
          <cell r="K7">
            <v>27.314</v>
          </cell>
          <cell r="L7">
            <v>23.108999999999998</v>
          </cell>
          <cell r="M7">
            <v>-2.8</v>
          </cell>
          <cell r="N7">
            <v>0</v>
          </cell>
          <cell r="O7">
            <v>-10.108000000000001</v>
          </cell>
          <cell r="P7">
            <v>0</v>
          </cell>
          <cell r="Q7">
            <v>-31.82541486701523</v>
          </cell>
          <cell r="R7">
            <v>0</v>
          </cell>
          <cell r="S7">
            <v>119.199</v>
          </cell>
          <cell r="T7">
            <v>119.199</v>
          </cell>
        </row>
        <row r="8">
          <cell r="A8" t="str">
            <v>Andorra</v>
          </cell>
          <cell r="B8">
            <v>20</v>
          </cell>
          <cell r="C8">
            <v>116454.61900000001</v>
          </cell>
          <cell r="D8">
            <v>141822.27600000001</v>
          </cell>
          <cell r="E8">
            <v>33.969000000000001</v>
          </cell>
          <cell r="F8">
            <v>34.655000000000001</v>
          </cell>
          <cell r="G8">
            <v>30.292000000000002</v>
          </cell>
          <cell r="H8">
            <v>32.496000000000002</v>
          </cell>
          <cell r="I8">
            <v>5.2290000000000001</v>
          </cell>
          <cell r="J8">
            <v>3.57</v>
          </cell>
          <cell r="K8">
            <v>4.2549999999999999</v>
          </cell>
          <cell r="L8">
            <v>3.57</v>
          </cell>
          <cell r="M8">
            <v>0.317</v>
          </cell>
          <cell r="N8">
            <v>0</v>
          </cell>
          <cell r="O8">
            <v>0.97399999999999998</v>
          </cell>
          <cell r="P8">
            <v>0</v>
          </cell>
          <cell r="Q8">
            <v>8.6801752464403066</v>
          </cell>
          <cell r="R8">
            <v>0</v>
          </cell>
          <cell r="S8">
            <v>57.966999999999999</v>
          </cell>
          <cell r="T8">
            <v>57.966999999999999</v>
          </cell>
        </row>
        <row r="9">
          <cell r="A9" t="str">
            <v>Angola</v>
          </cell>
          <cell r="B9">
            <v>24</v>
          </cell>
          <cell r="C9">
            <v>1732.9839999999999</v>
          </cell>
          <cell r="D9">
            <v>2162.5460000000003</v>
          </cell>
          <cell r="E9">
            <v>6046.6869999999999</v>
          </cell>
          <cell r="F9">
            <v>7860.5010000000002</v>
          </cell>
          <cell r="G9">
            <v>6233.02</v>
          </cell>
          <cell r="H9">
            <v>8080.8909999999996</v>
          </cell>
          <cell r="I9">
            <v>23.904</v>
          </cell>
          <cell r="J9">
            <v>28.215</v>
          </cell>
          <cell r="K9">
            <v>25.742999999999999</v>
          </cell>
          <cell r="L9">
            <v>26.268000000000001</v>
          </cell>
          <cell r="M9">
            <v>-120.09</v>
          </cell>
          <cell r="N9">
            <v>145</v>
          </cell>
          <cell r="O9">
            <v>-1.839</v>
          </cell>
          <cell r="P9">
            <v>1.9470000000000001</v>
          </cell>
          <cell r="Q9">
            <v>-3.7629053176065677</v>
          </cell>
          <cell r="R9">
            <v>4.0119572928529612</v>
          </cell>
          <cell r="S9">
            <v>43501.262999999999</v>
          </cell>
          <cell r="T9">
            <v>43125.154000000002</v>
          </cell>
        </row>
        <row r="10">
          <cell r="A10" t="str">
            <v>Anguilla</v>
          </cell>
          <cell r="B10">
            <v>660</v>
          </cell>
          <cell r="C10">
            <v>294.97500000000002</v>
          </cell>
          <cell r="D10">
            <v>373.81900000000002</v>
          </cell>
          <cell r="E10">
            <v>5.1390000000000002</v>
          </cell>
          <cell r="F10">
            <v>6.0880000000000001</v>
          </cell>
          <cell r="G10">
            <v>5.1740000000000004</v>
          </cell>
          <cell r="H10">
            <v>6.117</v>
          </cell>
          <cell r="I10">
            <v>17.079999999999998</v>
          </cell>
          <cell r="J10">
            <v>16.588000000000001</v>
          </cell>
          <cell r="K10">
            <v>13.553000000000001</v>
          </cell>
          <cell r="L10">
            <v>14.148</v>
          </cell>
          <cell r="M10">
            <v>0.19</v>
          </cell>
          <cell r="N10">
            <v>0.14299999999999999</v>
          </cell>
          <cell r="O10">
            <v>3.5270000000000001</v>
          </cell>
          <cell r="P10">
            <v>2.44</v>
          </cell>
          <cell r="Q10">
            <v>19.250253292806484</v>
          </cell>
          <cell r="R10">
            <v>12.882882882882882</v>
          </cell>
          <cell r="S10">
            <v>17.346</v>
          </cell>
          <cell r="T10">
            <v>17.346</v>
          </cell>
        </row>
        <row r="11">
          <cell r="A11" t="str">
            <v>Antigua and Barbuda</v>
          </cell>
          <cell r="B11">
            <v>28</v>
          </cell>
          <cell r="C11">
            <v>11367.785</v>
          </cell>
          <cell r="D11">
            <v>14071.013999999999</v>
          </cell>
          <cell r="E11">
            <v>34.012999999999998</v>
          </cell>
          <cell r="F11">
            <v>40.03</v>
          </cell>
          <cell r="G11">
            <v>35.594000000000001</v>
          </cell>
          <cell r="H11">
            <v>41.454999999999998</v>
          </cell>
          <cell r="I11">
            <v>18.884</v>
          </cell>
          <cell r="J11">
            <v>12.609000000000002</v>
          </cell>
          <cell r="K11">
            <v>12.587</v>
          </cell>
          <cell r="L11">
            <v>12.609000000000002</v>
          </cell>
          <cell r="M11">
            <v>2.2999999999999998</v>
          </cell>
          <cell r="N11">
            <v>0</v>
          </cell>
          <cell r="O11">
            <v>6.2969999999999997</v>
          </cell>
          <cell r="P11">
            <v>0</v>
          </cell>
          <cell r="Q11">
            <v>32.136369987424892</v>
          </cell>
          <cell r="R11">
            <v>0</v>
          </cell>
          <cell r="S11">
            <v>112.309</v>
          </cell>
          <cell r="T11">
            <v>112.309</v>
          </cell>
        </row>
        <row r="12">
          <cell r="A12" t="str">
            <v>Argentina</v>
          </cell>
          <cell r="B12">
            <v>32</v>
          </cell>
          <cell r="C12">
            <v>1219331.429</v>
          </cell>
          <cell r="D12">
            <v>1315843.544</v>
          </cell>
          <cell r="E12">
            <v>17086.084999999999</v>
          </cell>
          <cell r="F12">
            <v>18948.512999999999</v>
          </cell>
          <cell r="G12">
            <v>17748.816999999999</v>
          </cell>
          <cell r="H12">
            <v>19798.634999999998</v>
          </cell>
          <cell r="I12">
            <v>11.492000000000001</v>
          </cell>
          <cell r="J12">
            <v>9.7899999999999991</v>
          </cell>
          <cell r="K12">
            <v>12.05</v>
          </cell>
          <cell r="L12">
            <v>10.319000000000001</v>
          </cell>
          <cell r="M12">
            <v>-100</v>
          </cell>
          <cell r="N12">
            <v>-100</v>
          </cell>
          <cell r="O12">
            <v>-0.55800000000000005</v>
          </cell>
          <cell r="P12">
            <v>-0.52900000000000003</v>
          </cell>
          <cell r="Q12">
            <v>-2.8269590119212862</v>
          </cell>
          <cell r="R12">
            <v>-2.9353756502957831</v>
          </cell>
          <cell r="S12">
            <v>51382.418999999994</v>
          </cell>
          <cell r="T12">
            <v>50974.423999999999</v>
          </cell>
        </row>
        <row r="13">
          <cell r="A13" t="str">
            <v>Armenia</v>
          </cell>
          <cell r="B13">
            <v>51</v>
          </cell>
          <cell r="C13">
            <v>6186.5389999999998</v>
          </cell>
          <cell r="D13">
            <v>7040.8850000000002</v>
          </cell>
          <cell r="E13">
            <v>1531.577</v>
          </cell>
          <cell r="F13">
            <v>1405.885</v>
          </cell>
          <cell r="G13">
            <v>1695.402</v>
          </cell>
          <cell r="H13">
            <v>1610.4269999999999</v>
          </cell>
          <cell r="I13">
            <v>-9.1920000000000002</v>
          </cell>
          <cell r="J13">
            <v>-4.3080000000000007</v>
          </cell>
          <cell r="K13">
            <v>5.0730000000000004</v>
          </cell>
          <cell r="L13">
            <v>2.2509999999999994</v>
          </cell>
          <cell r="M13">
            <v>-225</v>
          </cell>
          <cell r="N13">
            <v>-100</v>
          </cell>
          <cell r="O13">
            <v>-14.265000000000001</v>
          </cell>
          <cell r="P13">
            <v>-6.5590000000000002</v>
          </cell>
          <cell r="Q13">
            <v>-105.6908659604951</v>
          </cell>
          <cell r="R13">
            <v>-59.091526865962685</v>
          </cell>
          <cell r="S13">
            <v>2505.9699999999998</v>
          </cell>
          <cell r="T13">
            <v>2953.038</v>
          </cell>
        </row>
        <row r="14">
          <cell r="A14" t="str">
            <v>Aruba</v>
          </cell>
          <cell r="B14">
            <v>533</v>
          </cell>
          <cell r="C14">
            <v>412.83199999999999</v>
          </cell>
          <cell r="D14">
            <v>460.16200000000003</v>
          </cell>
          <cell r="E14">
            <v>41.981999999999999</v>
          </cell>
          <cell r="F14">
            <v>47.006</v>
          </cell>
          <cell r="G14">
            <v>42.311</v>
          </cell>
          <cell r="H14">
            <v>52.462000000000003</v>
          </cell>
          <cell r="I14">
            <v>17.692</v>
          </cell>
          <cell r="J14">
            <v>15.396000000000001</v>
          </cell>
          <cell r="K14">
            <v>11.762</v>
          </cell>
          <cell r="L14">
            <v>9.9359999999999999</v>
          </cell>
          <cell r="M14">
            <v>2.6150000000000002</v>
          </cell>
          <cell r="N14">
            <v>2.6150000000000002</v>
          </cell>
          <cell r="O14">
            <v>5.93</v>
          </cell>
          <cell r="P14">
            <v>5.46</v>
          </cell>
          <cell r="Q14">
            <v>33.685430890119797</v>
          </cell>
          <cell r="R14">
            <v>34.403367977897645</v>
          </cell>
          <cell r="S14">
            <v>109.792</v>
          </cell>
          <cell r="T14">
            <v>109.792</v>
          </cell>
        </row>
        <row r="15">
          <cell r="A15" t="str">
            <v>Australia</v>
          </cell>
          <cell r="B15">
            <v>36</v>
          </cell>
          <cell r="C15">
            <v>731.01600000000008</v>
          </cell>
          <cell r="D15">
            <v>835.30700000000002</v>
          </cell>
          <cell r="E15">
            <v>8868.3770000000004</v>
          </cell>
          <cell r="F15">
            <v>9952.68</v>
          </cell>
          <cell r="G15">
            <v>9072.3320000000003</v>
          </cell>
          <cell r="H15">
            <v>10202.449000000001</v>
          </cell>
          <cell r="I15">
            <v>12.221</v>
          </cell>
          <cell r="J15">
            <v>11.050999999999998</v>
          </cell>
          <cell r="K15">
            <v>6.7109999999999994</v>
          </cell>
          <cell r="L15">
            <v>5.9519999999999991</v>
          </cell>
          <cell r="M15">
            <v>509.8</v>
          </cell>
          <cell r="N15">
            <v>500</v>
          </cell>
          <cell r="O15">
            <v>5.51</v>
          </cell>
          <cell r="P15">
            <v>5.0990000000000002</v>
          </cell>
          <cell r="Q15">
            <v>40.769779500910083</v>
          </cell>
          <cell r="R15">
            <v>40.187724900555473</v>
          </cell>
          <cell r="S15">
            <v>27939.607</v>
          </cell>
          <cell r="T15">
            <v>21606.665000000001</v>
          </cell>
        </row>
        <row r="16">
          <cell r="A16" t="str">
            <v>Austria</v>
          </cell>
          <cell r="B16">
            <v>40</v>
          </cell>
          <cell r="C16">
            <v>20918.396000000001</v>
          </cell>
          <cell r="D16">
            <v>22487.661</v>
          </cell>
          <cell r="E16">
            <v>3902.3339999999998</v>
          </cell>
          <cell r="F16">
            <v>4003.4250000000002</v>
          </cell>
          <cell r="G16">
            <v>4144.201</v>
          </cell>
          <cell r="H16">
            <v>4186.0190000000002</v>
          </cell>
          <cell r="I16">
            <v>1.2309999999999997</v>
          </cell>
          <cell r="J16">
            <v>2.2889999999999984</v>
          </cell>
          <cell r="K16">
            <v>0.11599999999999966</v>
          </cell>
          <cell r="L16">
            <v>-0.16700000000000159</v>
          </cell>
          <cell r="M16">
            <v>45</v>
          </cell>
          <cell r="N16">
            <v>100</v>
          </cell>
          <cell r="O16">
            <v>1.115</v>
          </cell>
          <cell r="P16">
            <v>2.456</v>
          </cell>
          <cell r="Q16">
            <v>11.005916291446447</v>
          </cell>
          <cell r="R16">
            <v>26.033870064954506</v>
          </cell>
          <cell r="S16">
            <v>8073.0219999999999</v>
          </cell>
          <cell r="T16">
            <v>6981.6289999999999</v>
          </cell>
        </row>
        <row r="17">
          <cell r="A17" t="str">
            <v>Azerbaijan</v>
          </cell>
          <cell r="B17">
            <v>31</v>
          </cell>
          <cell r="C17">
            <v>847.58600000000001</v>
          </cell>
          <cell r="D17">
            <v>947.06400000000008</v>
          </cell>
          <cell r="E17">
            <v>3815</v>
          </cell>
          <cell r="F17">
            <v>4082.62</v>
          </cell>
          <cell r="G17">
            <v>3976.299</v>
          </cell>
          <cell r="H17">
            <v>4328.1809999999996</v>
          </cell>
          <cell r="I17">
            <v>8.8310000000000013</v>
          </cell>
          <cell r="J17">
            <v>6.4689999999999994</v>
          </cell>
          <cell r="K17">
            <v>12.032000000000002</v>
          </cell>
          <cell r="L17">
            <v>8.8849999999999998</v>
          </cell>
          <cell r="M17">
            <v>-127.51</v>
          </cell>
          <cell r="N17">
            <v>-100</v>
          </cell>
          <cell r="O17">
            <v>-3.2010000000000001</v>
          </cell>
          <cell r="P17">
            <v>-2.4159999999999999</v>
          </cell>
          <cell r="Q17">
            <v>-16.948994837275823</v>
          </cell>
          <cell r="R17">
            <v>-15.255553402827463</v>
          </cell>
          <cell r="S17">
            <v>9630.5959999999995</v>
          </cell>
          <cell r="T17">
            <v>10108.833999999999</v>
          </cell>
        </row>
        <row r="18">
          <cell r="A18" t="str">
            <v>Bahamas</v>
          </cell>
          <cell r="B18">
            <v>44</v>
          </cell>
          <cell r="C18">
            <v>5032.5650000000005</v>
          </cell>
          <cell r="D18">
            <v>4474.4040000000005</v>
          </cell>
          <cell r="E18">
            <v>137.21600000000001</v>
          </cell>
          <cell r="F18">
            <v>157.286</v>
          </cell>
          <cell r="G18">
            <v>141.90100000000001</v>
          </cell>
          <cell r="H18">
            <v>165.77699999999999</v>
          </cell>
          <cell r="I18">
            <v>15.38</v>
          </cell>
          <cell r="J18">
            <v>13.851000000000001</v>
          </cell>
          <cell r="K18">
            <v>14.001999999999999</v>
          </cell>
          <cell r="L18">
            <v>12.57</v>
          </cell>
          <cell r="M18">
            <v>2</v>
          </cell>
          <cell r="N18">
            <v>2</v>
          </cell>
          <cell r="O18">
            <v>1.3779999999999999</v>
          </cell>
          <cell r="P18">
            <v>1.2809999999999999</v>
          </cell>
          <cell r="Q18">
            <v>6.4480768610761841</v>
          </cell>
          <cell r="R18">
            <v>6.4785721227041559</v>
          </cell>
          <cell r="S18">
            <v>465.81700000000001</v>
          </cell>
          <cell r="T18">
            <v>439.87400000000002</v>
          </cell>
        </row>
        <row r="19">
          <cell r="A19" t="str">
            <v>Bahrain</v>
          </cell>
          <cell r="B19">
            <v>48</v>
          </cell>
          <cell r="C19">
            <v>935572.04500000004</v>
          </cell>
          <cell r="D19">
            <v>1103370.8020000001</v>
          </cell>
          <cell r="E19">
            <v>337.41500000000002</v>
          </cell>
          <cell r="F19">
            <v>413.86200000000002</v>
          </cell>
          <cell r="G19">
            <v>246.77199999999999</v>
          </cell>
          <cell r="H19">
            <v>312.755</v>
          </cell>
          <cell r="I19">
            <v>27.963999999999999</v>
          </cell>
          <cell r="J19">
            <v>15.617999999999999</v>
          </cell>
          <cell r="K19">
            <v>18.410999999999998</v>
          </cell>
          <cell r="L19">
            <v>15.617999999999999</v>
          </cell>
          <cell r="M19">
            <v>30</v>
          </cell>
          <cell r="N19">
            <v>0</v>
          </cell>
          <cell r="O19">
            <v>9.5530000000000008</v>
          </cell>
          <cell r="P19">
            <v>0</v>
          </cell>
          <cell r="Q19">
            <v>44.163759219184733</v>
          </cell>
          <cell r="R19">
            <v>0</v>
          </cell>
          <cell r="S19">
            <v>1154.9279999999999</v>
          </cell>
          <cell r="T19">
            <v>937.84500000000003</v>
          </cell>
        </row>
        <row r="20">
          <cell r="A20" t="str">
            <v>Bangladesh</v>
          </cell>
          <cell r="B20">
            <v>50</v>
          </cell>
          <cell r="C20">
            <v>195649.386</v>
          </cell>
          <cell r="D20">
            <v>222781.48699999999</v>
          </cell>
          <cell r="E20">
            <v>59800.161</v>
          </cell>
          <cell r="F20">
            <v>72459.035000000003</v>
          </cell>
          <cell r="G20">
            <v>56654.457999999999</v>
          </cell>
          <cell r="H20">
            <v>69363.240999999995</v>
          </cell>
          <cell r="I20">
            <v>20.315000000000001</v>
          </cell>
          <cell r="J20">
            <v>19.068999999999999</v>
          </cell>
          <cell r="K20">
            <v>20.803999999999998</v>
          </cell>
          <cell r="L20">
            <v>19.585999999999999</v>
          </cell>
          <cell r="M20">
            <v>-300</v>
          </cell>
          <cell r="N20">
            <v>-350</v>
          </cell>
          <cell r="O20">
            <v>-0.48899999999999999</v>
          </cell>
          <cell r="P20">
            <v>-0.51700000000000002</v>
          </cell>
          <cell r="Q20">
            <v>-1.63566250219724</v>
          </cell>
          <cell r="R20">
            <v>-1.8769330399311606</v>
          </cell>
          <cell r="S20">
            <v>242937.28399999999</v>
          </cell>
          <cell r="T20">
            <v>245802.144</v>
          </cell>
        </row>
        <row r="21">
          <cell r="A21" t="str">
            <v>Barbados</v>
          </cell>
          <cell r="B21">
            <v>52</v>
          </cell>
          <cell r="C21">
            <v>62323.938000000002</v>
          </cell>
          <cell r="D21">
            <v>69515.206000000006</v>
          </cell>
          <cell r="E21">
            <v>126.205</v>
          </cell>
          <cell r="F21">
            <v>130.31899999999999</v>
          </cell>
          <cell r="G21">
            <v>135.846</v>
          </cell>
          <cell r="H21">
            <v>139.23699999999999</v>
          </cell>
          <cell r="I21">
            <v>3.0579999999999998</v>
          </cell>
          <cell r="J21">
            <v>2.59</v>
          </cell>
          <cell r="K21">
            <v>4.0049999999999999</v>
          </cell>
          <cell r="L21">
            <v>3.5229999999999997</v>
          </cell>
          <cell r="M21">
            <v>-1.25</v>
          </cell>
          <cell r="N21">
            <v>-1.25</v>
          </cell>
          <cell r="O21">
            <v>-0.94699999999999995</v>
          </cell>
          <cell r="P21">
            <v>-0.93300000000000005</v>
          </cell>
          <cell r="Q21">
            <v>-7.2967135602124795</v>
          </cell>
          <cell r="R21">
            <v>-7.6214864947259322</v>
          </cell>
          <cell r="S21">
            <v>255.262</v>
          </cell>
          <cell r="T21">
            <v>269.81799999999998</v>
          </cell>
        </row>
        <row r="22">
          <cell r="A22" t="str">
            <v>Belarus</v>
          </cell>
          <cell r="B22">
            <v>112</v>
          </cell>
          <cell r="C22">
            <v>21631.871999999999</v>
          </cell>
          <cell r="D22">
            <v>28807.19</v>
          </cell>
          <cell r="E22">
            <v>4816.0190000000002</v>
          </cell>
          <cell r="F22">
            <v>4558.6049999999996</v>
          </cell>
          <cell r="G22">
            <v>5432.7569999999996</v>
          </cell>
          <cell r="H22">
            <v>5196.5010000000002</v>
          </cell>
          <cell r="I22">
            <v>-4.3419999999999996</v>
          </cell>
          <cell r="J22">
            <v>-5.5309999999999988</v>
          </cell>
          <cell r="K22">
            <v>-4.625</v>
          </cell>
          <cell r="L22">
            <v>-5.3289999999999988</v>
          </cell>
          <cell r="M22">
            <v>14.337999999999999</v>
          </cell>
          <cell r="N22">
            <v>-10</v>
          </cell>
          <cell r="O22">
            <v>0.28299999999999997</v>
          </cell>
          <cell r="P22">
            <v>-0.20200000000000001</v>
          </cell>
          <cell r="Q22">
            <v>3.1074450377973504</v>
          </cell>
          <cell r="R22">
            <v>-2.2058499139718535</v>
          </cell>
          <cell r="S22">
            <v>7017.0169999999998</v>
          </cell>
          <cell r="T22">
            <v>7126.357</v>
          </cell>
        </row>
        <row r="23">
          <cell r="A23" t="str">
            <v>Belgium</v>
          </cell>
          <cell r="B23">
            <v>56</v>
          </cell>
          <cell r="C23">
            <v>5373.8989999999994</v>
          </cell>
          <cell r="D23">
            <v>6724.5640000000003</v>
          </cell>
          <cell r="E23">
            <v>4956.7280000000001</v>
          </cell>
          <cell r="F23">
            <v>5112.3419999999996</v>
          </cell>
          <cell r="G23">
            <v>5180.0829999999996</v>
          </cell>
          <cell r="H23">
            <v>5306.7070000000003</v>
          </cell>
          <cell r="I23">
            <v>3.2689999999999992</v>
          </cell>
          <cell r="J23">
            <v>2.2229999999999999</v>
          </cell>
          <cell r="K23">
            <v>1.3279999999999994</v>
          </cell>
          <cell r="L23">
            <v>0.93</v>
          </cell>
          <cell r="M23">
            <v>99.2</v>
          </cell>
          <cell r="N23">
            <v>67</v>
          </cell>
          <cell r="O23">
            <v>1.9410000000000001</v>
          </cell>
          <cell r="P23">
            <v>1.2929999999999999</v>
          </cell>
          <cell r="Q23">
            <v>17.317710151809283</v>
          </cell>
          <cell r="R23">
            <v>11.875810922910034</v>
          </cell>
          <cell r="S23">
            <v>10301.715</v>
          </cell>
          <cell r="T23">
            <v>9422.5139999999992</v>
          </cell>
        </row>
        <row r="24">
          <cell r="A24" t="str">
            <v>Belize</v>
          </cell>
          <cell r="B24">
            <v>84</v>
          </cell>
          <cell r="C24">
            <v>125472.001</v>
          </cell>
          <cell r="D24">
            <v>128084.652</v>
          </cell>
          <cell r="E24">
            <v>108.62</v>
          </cell>
          <cell r="F24">
            <v>136.167</v>
          </cell>
          <cell r="G24">
            <v>105.357</v>
          </cell>
          <cell r="H24">
            <v>133.56899999999999</v>
          </cell>
          <cell r="I24">
            <v>24.801000000000002</v>
          </cell>
          <cell r="J24">
            <v>21.461000000000002</v>
          </cell>
          <cell r="K24">
            <v>25.678000000000001</v>
          </cell>
          <cell r="L24">
            <v>22.242000000000001</v>
          </cell>
          <cell r="M24">
            <v>-1</v>
          </cell>
          <cell r="N24">
            <v>-1</v>
          </cell>
          <cell r="O24">
            <v>-0.877</v>
          </cell>
          <cell r="P24">
            <v>-0.78100000000000003</v>
          </cell>
          <cell r="Q24">
            <v>-2.8695227983586329</v>
          </cell>
          <cell r="R24">
            <v>-2.8571428571428572</v>
          </cell>
          <cell r="S24">
            <v>442.08800000000002</v>
          </cell>
          <cell r="T24">
            <v>453.21600000000001</v>
          </cell>
        </row>
        <row r="25">
          <cell r="A25" t="str">
            <v>Benin</v>
          </cell>
          <cell r="B25">
            <v>204</v>
          </cell>
          <cell r="C25">
            <v>4288.0529999999999</v>
          </cell>
          <cell r="D25">
            <v>5702.7759999999998</v>
          </cell>
          <cell r="E25">
            <v>3097.9659999999999</v>
          </cell>
          <cell r="F25">
            <v>4253.2910000000002</v>
          </cell>
          <cell r="G25">
            <v>3102.681</v>
          </cell>
          <cell r="H25">
            <v>4185.5619999999999</v>
          </cell>
          <cell r="I25">
            <v>29.746000000000002</v>
          </cell>
          <cell r="J25">
            <v>31.77</v>
          </cell>
          <cell r="K25">
            <v>30.62</v>
          </cell>
          <cell r="L25">
            <v>29.241999999999997</v>
          </cell>
          <cell r="M25">
            <v>-29.286999999999999</v>
          </cell>
          <cell r="N25">
            <v>98.831000000000003</v>
          </cell>
          <cell r="O25">
            <v>-0.874</v>
          </cell>
          <cell r="P25">
            <v>2.528</v>
          </cell>
          <cell r="Q25">
            <v>-1.9903171921488252</v>
          </cell>
          <cell r="R25">
            <v>6.0056014442951628</v>
          </cell>
          <cell r="S25">
            <v>22122.646999999997</v>
          </cell>
          <cell r="T25">
            <v>22138.539000000001</v>
          </cell>
        </row>
        <row r="26">
          <cell r="A26" t="str">
            <v>Bermuda</v>
          </cell>
          <cell r="B26">
            <v>60</v>
          </cell>
          <cell r="C26">
            <v>15866.134</v>
          </cell>
          <cell r="D26">
            <v>14825.105</v>
          </cell>
          <cell r="E26">
            <v>29.774999999999999</v>
          </cell>
          <cell r="F26">
            <v>31.169</v>
          </cell>
          <cell r="G26">
            <v>31.645</v>
          </cell>
          <cell r="H26">
            <v>33.005000000000003</v>
          </cell>
          <cell r="I26">
            <v>4.6479999999999997</v>
          </cell>
          <cell r="J26">
            <v>4.125</v>
          </cell>
          <cell r="K26">
            <v>4.6479999999999997</v>
          </cell>
          <cell r="L26">
            <v>4.125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62.68</v>
          </cell>
          <cell r="T26">
            <v>62.68</v>
          </cell>
        </row>
        <row r="27">
          <cell r="A27" t="str">
            <v>Bhutan</v>
          </cell>
          <cell r="B27">
            <v>64</v>
          </cell>
          <cell r="C27">
            <v>1695.6610000000001</v>
          </cell>
          <cell r="D27">
            <v>2686.873</v>
          </cell>
          <cell r="E27">
            <v>877.71500000000003</v>
          </cell>
          <cell r="F27">
            <v>1095.6880000000001</v>
          </cell>
          <cell r="G27">
            <v>855.26900000000001</v>
          </cell>
          <cell r="H27">
            <v>1066.8579999999999</v>
          </cell>
          <cell r="I27">
            <v>22.353999999999999</v>
          </cell>
          <cell r="J27">
            <v>21.889000000000003</v>
          </cell>
          <cell r="K27">
            <v>22.899000000000001</v>
          </cell>
          <cell r="L27">
            <v>21.889000000000003</v>
          </cell>
          <cell r="M27">
            <v>-5</v>
          </cell>
          <cell r="N27">
            <v>0</v>
          </cell>
          <cell r="O27">
            <v>-0.54500000000000004</v>
          </cell>
          <cell r="P27">
            <v>0</v>
          </cell>
          <cell r="Q27">
            <v>-1.6525320095450251</v>
          </cell>
          <cell r="R27">
            <v>0</v>
          </cell>
          <cell r="S27">
            <v>4392.7929999999997</v>
          </cell>
          <cell r="T27">
            <v>4354.4520000000002</v>
          </cell>
        </row>
        <row r="28">
          <cell r="A28" t="str">
            <v>Bolivia</v>
          </cell>
          <cell r="B28">
            <v>68</v>
          </cell>
          <cell r="C28">
            <v>4587.8850000000002</v>
          </cell>
          <cell r="D28">
            <v>5263.7939999999999</v>
          </cell>
          <cell r="E28">
            <v>3716.2919999999999</v>
          </cell>
          <cell r="F28">
            <v>4574.8440000000001</v>
          </cell>
          <cell r="G28">
            <v>3765.402</v>
          </cell>
          <cell r="H28">
            <v>4607.1710000000003</v>
          </cell>
          <cell r="I28">
            <v>21.14</v>
          </cell>
          <cell r="J28">
            <v>19.781999999999996</v>
          </cell>
          <cell r="K28">
            <v>23.672000000000004</v>
          </cell>
          <cell r="L28">
            <v>22.067999999999998</v>
          </cell>
          <cell r="M28">
            <v>-100</v>
          </cell>
          <cell r="N28">
            <v>-100</v>
          </cell>
          <cell r="O28">
            <v>-2.532</v>
          </cell>
          <cell r="P28">
            <v>-2.286</v>
          </cell>
          <cell r="Q28">
            <v>-7.7689936356404141</v>
          </cell>
          <cell r="R28">
            <v>-7.5575164791646827</v>
          </cell>
          <cell r="S28">
            <v>14908.126</v>
          </cell>
          <cell r="T28">
            <v>16293.577000000001</v>
          </cell>
        </row>
        <row r="29">
          <cell r="A29" t="str">
            <v>Bosnia and Herzegovina</v>
          </cell>
          <cell r="B29">
            <v>70</v>
          </cell>
          <cell r="C29">
            <v>4685.9719999999998</v>
          </cell>
          <cell r="D29">
            <v>5924.1450000000004</v>
          </cell>
          <cell r="E29">
            <v>1691.8820000000001</v>
          </cell>
          <cell r="F29">
            <v>1897.6489999999999</v>
          </cell>
          <cell r="G29">
            <v>1728.19</v>
          </cell>
          <cell r="H29">
            <v>2009.425</v>
          </cell>
          <cell r="I29">
            <v>23.506</v>
          </cell>
          <cell r="J29">
            <v>3.0920000000000001</v>
          </cell>
          <cell r="K29">
            <v>4.2409999999999997</v>
          </cell>
          <cell r="L29">
            <v>1.0289999999999999</v>
          </cell>
          <cell r="M29">
            <v>350</v>
          </cell>
          <cell r="N29">
            <v>40</v>
          </cell>
          <cell r="O29">
            <v>19.265000000000001</v>
          </cell>
          <cell r="P29">
            <v>2.0630000000000002</v>
          </cell>
          <cell r="Q29">
            <v>162.09407013578851</v>
          </cell>
          <cell r="R29">
            <v>21.32514447785384</v>
          </cell>
          <cell r="S29">
            <v>3170.4610000000002</v>
          </cell>
          <cell r="T29">
            <v>3145.4679999999998</v>
          </cell>
        </row>
        <row r="30">
          <cell r="A30" t="str">
            <v>Botswana</v>
          </cell>
          <cell r="B30">
            <v>72</v>
          </cell>
          <cell r="C30">
            <v>3176.779</v>
          </cell>
          <cell r="D30">
            <v>3576.8180000000002</v>
          </cell>
          <cell r="E30">
            <v>792.85400000000004</v>
          </cell>
          <cell r="F30">
            <v>866.99199999999996</v>
          </cell>
          <cell r="G30">
            <v>822.67399999999998</v>
          </cell>
          <cell r="H30">
            <v>897.93399999999997</v>
          </cell>
          <cell r="I30">
            <v>16.439</v>
          </cell>
          <cell r="J30">
            <v>1.2410000000000019</v>
          </cell>
          <cell r="K30">
            <v>17.27</v>
          </cell>
          <cell r="L30">
            <v>1.9230000000000018</v>
          </cell>
          <cell r="M30">
            <v>-7</v>
          </cell>
          <cell r="N30">
            <v>-6</v>
          </cell>
          <cell r="O30">
            <v>-0.83099999999999996</v>
          </cell>
          <cell r="P30">
            <v>-0.68200000000000005</v>
          </cell>
          <cell r="Q30">
            <v>-2.7914581380974224</v>
          </cell>
          <cell r="R30">
            <v>-2.5337730837285317</v>
          </cell>
          <cell r="S30">
            <v>1657.527</v>
          </cell>
          <cell r="T30">
            <v>1707.2950000000001</v>
          </cell>
        </row>
        <row r="31">
          <cell r="A31" t="str">
            <v>Brazil</v>
          </cell>
          <cell r="B31">
            <v>76</v>
          </cell>
          <cell r="C31">
            <v>20362.330000000002</v>
          </cell>
          <cell r="D31">
            <v>25347.367999999999</v>
          </cell>
          <cell r="E31">
            <v>79948.159</v>
          </cell>
          <cell r="F31">
            <v>91869.5</v>
          </cell>
          <cell r="G31">
            <v>81427.801999999996</v>
          </cell>
          <cell r="H31">
            <v>94535.413</v>
          </cell>
          <cell r="I31">
            <v>14.894</v>
          </cell>
          <cell r="J31">
            <v>13.932</v>
          </cell>
          <cell r="K31">
            <v>15.048999999999999</v>
          </cell>
          <cell r="L31">
            <v>14.076000000000001</v>
          </cell>
          <cell r="M31">
            <v>-130</v>
          </cell>
          <cell r="N31">
            <v>-130</v>
          </cell>
          <cell r="O31">
            <v>-0.155</v>
          </cell>
          <cell r="P31">
            <v>-0.14399999999999999</v>
          </cell>
          <cell r="Q31">
            <v>-0.71773957967734736</v>
          </cell>
          <cell r="R31">
            <v>-0.69870869496211141</v>
          </cell>
          <cell r="S31">
            <v>253105.29399999999</v>
          </cell>
          <cell r="T31">
            <v>254678.185</v>
          </cell>
        </row>
        <row r="32">
          <cell r="A32" t="str">
            <v>British Virgin Islands</v>
          </cell>
          <cell r="B32">
            <v>92</v>
          </cell>
          <cell r="C32">
            <v>251.803</v>
          </cell>
          <cell r="D32">
            <v>329.19799999999998</v>
          </cell>
          <cell r="E32">
            <v>9.4789999999999992</v>
          </cell>
          <cell r="F32">
            <v>11.260999999999999</v>
          </cell>
          <cell r="G32">
            <v>8.9789999999999992</v>
          </cell>
          <cell r="H32">
            <v>10.755000000000001</v>
          </cell>
          <cell r="I32">
            <v>21.18</v>
          </cell>
          <cell r="J32">
            <v>14.049000000000001</v>
          </cell>
          <cell r="K32">
            <v>16.47</v>
          </cell>
          <cell r="L32">
            <v>14.049000000000001</v>
          </cell>
          <cell r="M32">
            <v>0.45900000000000002</v>
          </cell>
          <cell r="N32">
            <v>0</v>
          </cell>
          <cell r="O32">
            <v>4.71</v>
          </cell>
          <cell r="P32">
            <v>0</v>
          </cell>
          <cell r="Q32">
            <v>23.311325545962415</v>
          </cell>
          <cell r="R32">
            <v>0</v>
          </cell>
          <cell r="S32">
            <v>28.265000000000001</v>
          </cell>
          <cell r="T32">
            <v>28.265000000000001</v>
          </cell>
        </row>
        <row r="33">
          <cell r="A33" t="str">
            <v>Brunei Darussalam</v>
          </cell>
          <cell r="B33">
            <v>96</v>
          </cell>
          <cell r="C33">
            <v>2389.2960000000003</v>
          </cell>
          <cell r="D33">
            <v>2646.4870000000001</v>
          </cell>
          <cell r="E33">
            <v>154.63800000000001</v>
          </cell>
          <cell r="F33">
            <v>193.65600000000001</v>
          </cell>
          <cell r="G33">
            <v>140.33699999999999</v>
          </cell>
          <cell r="H33">
            <v>180.16300000000001</v>
          </cell>
          <cell r="I33">
            <v>24.497</v>
          </cell>
          <cell r="J33">
            <v>22.823999999999998</v>
          </cell>
          <cell r="K33">
            <v>22.256999999999998</v>
          </cell>
          <cell r="L33">
            <v>20.832999999999998</v>
          </cell>
          <cell r="M33">
            <v>3.52</v>
          </cell>
          <cell r="N33">
            <v>3.52</v>
          </cell>
          <cell r="O33">
            <v>2.2400000000000002</v>
          </cell>
          <cell r="P33">
            <v>1.9910000000000001</v>
          </cell>
          <cell r="Q33">
            <v>8.9195215892965756</v>
          </cell>
          <cell r="R33">
            <v>8.4339658807743927</v>
          </cell>
          <cell r="S33">
            <v>680.61</v>
          </cell>
          <cell r="T33">
            <v>551.19600000000003</v>
          </cell>
        </row>
        <row r="34">
          <cell r="A34" t="str">
            <v>Bulgaria</v>
          </cell>
          <cell r="B34">
            <v>100</v>
          </cell>
          <cell r="C34">
            <v>44499.631999999998</v>
          </cell>
          <cell r="D34">
            <v>50519.491999999998</v>
          </cell>
          <cell r="E34">
            <v>4060.8879999999999</v>
          </cell>
          <cell r="F34">
            <v>3741.576</v>
          </cell>
          <cell r="G34">
            <v>4235.7650000000003</v>
          </cell>
          <cell r="H34">
            <v>3984.3890000000001</v>
          </cell>
          <cell r="I34">
            <v>-7.3640000000000008</v>
          </cell>
          <cell r="J34">
            <v>-6.8870000000000005</v>
          </cell>
          <cell r="K34">
            <v>-6.1370000000000005</v>
          </cell>
          <cell r="L34">
            <v>-5.6150000000000002</v>
          </cell>
          <cell r="M34">
            <v>-50</v>
          </cell>
          <cell r="N34">
            <v>-50</v>
          </cell>
          <cell r="O34">
            <v>-1.2270000000000001</v>
          </cell>
          <cell r="P34">
            <v>-1.272</v>
          </cell>
          <cell r="Q34">
            <v>-15.037051294389375</v>
          </cell>
          <cell r="R34">
            <v>-14.673858814000035</v>
          </cell>
          <cell r="S34">
            <v>5064.6890000000003</v>
          </cell>
          <cell r="T34">
            <v>5439.4120000000003</v>
          </cell>
        </row>
        <row r="35">
          <cell r="A35" t="str">
            <v>Burkina Faso</v>
          </cell>
          <cell r="B35">
            <v>854</v>
          </cell>
          <cell r="C35">
            <v>21682.06</v>
          </cell>
          <cell r="D35">
            <v>27132.629000000001</v>
          </cell>
          <cell r="E35">
            <v>4900.3959999999997</v>
          </cell>
          <cell r="F35">
            <v>6650.2809999999999</v>
          </cell>
          <cell r="G35">
            <v>4931.4610000000002</v>
          </cell>
          <cell r="H35">
            <v>6577.5540000000001</v>
          </cell>
          <cell r="I35">
            <v>27.642000000000003</v>
          </cell>
          <cell r="J35">
            <v>31.585999999999999</v>
          </cell>
          <cell r="K35">
            <v>29.926000000000002</v>
          </cell>
          <cell r="L35">
            <v>29.954999999999998</v>
          </cell>
          <cell r="M35">
            <v>-120.59099999999999</v>
          </cell>
          <cell r="N35">
            <v>100</v>
          </cell>
          <cell r="O35">
            <v>-2.2839999999999998</v>
          </cell>
          <cell r="P35">
            <v>1.631</v>
          </cell>
          <cell r="Q35">
            <v>-4.7310959777974979</v>
          </cell>
          <cell r="R35">
            <v>3.4607524714098585</v>
          </cell>
          <cell r="S35">
            <v>39093.157999999996</v>
          </cell>
          <cell r="T35">
            <v>40067.195999999996</v>
          </cell>
        </row>
        <row r="36">
          <cell r="A36" t="str">
            <v>Burundi</v>
          </cell>
          <cell r="B36">
            <v>108</v>
          </cell>
          <cell r="C36">
            <v>2609.989</v>
          </cell>
          <cell r="D36">
            <v>3702.212</v>
          </cell>
          <cell r="E36">
            <v>2991.9969999999998</v>
          </cell>
          <cell r="F36">
            <v>3684.3270000000002</v>
          </cell>
          <cell r="G36">
            <v>3167.0630000000001</v>
          </cell>
          <cell r="H36">
            <v>3863.1880000000001</v>
          </cell>
          <cell r="I36">
            <v>10.345000000000001</v>
          </cell>
          <cell r="J36">
            <v>30.254999999999999</v>
          </cell>
          <cell r="K36">
            <v>22.997999999999998</v>
          </cell>
          <cell r="L36">
            <v>24.794000000000004</v>
          </cell>
          <cell r="M36">
            <v>-400</v>
          </cell>
          <cell r="N36">
            <v>191.6</v>
          </cell>
          <cell r="O36">
            <v>-12.653</v>
          </cell>
          <cell r="P36">
            <v>5.4610000000000003</v>
          </cell>
          <cell r="Q36">
            <v>-29.276147259020714</v>
          </cell>
          <cell r="R36">
            <v>12.511133341517375</v>
          </cell>
          <cell r="S36">
            <v>25811.754000000001</v>
          </cell>
          <cell r="T36">
            <v>25083.034</v>
          </cell>
        </row>
        <row r="37">
          <cell r="A37" t="str">
            <v>Cambodia</v>
          </cell>
          <cell r="B37">
            <v>116</v>
          </cell>
          <cell r="C37">
            <v>2177.2640000000001</v>
          </cell>
          <cell r="D37">
            <v>2566.9809999999998</v>
          </cell>
          <cell r="E37">
            <v>5454.1660000000002</v>
          </cell>
          <cell r="F37">
            <v>6800.8689999999997</v>
          </cell>
          <cell r="G37">
            <v>5913.6189999999997</v>
          </cell>
          <cell r="H37">
            <v>7270.1450000000004</v>
          </cell>
          <cell r="I37">
            <v>22.836999999999996</v>
          </cell>
          <cell r="J37">
            <v>19.79</v>
          </cell>
          <cell r="K37">
            <v>21.177999999999997</v>
          </cell>
          <cell r="L37">
            <v>19.939</v>
          </cell>
          <cell r="M37">
            <v>100</v>
          </cell>
          <cell r="N37">
            <v>-10</v>
          </cell>
          <cell r="O37">
            <v>1.659</v>
          </cell>
          <cell r="P37">
            <v>-0.14899999999999999</v>
          </cell>
          <cell r="Q37">
            <v>5.135217992571393</v>
          </cell>
          <cell r="R37">
            <v>-0.48463183973031204</v>
          </cell>
          <cell r="S37">
            <v>25971.724000000002</v>
          </cell>
          <cell r="T37">
            <v>26104.802</v>
          </cell>
        </row>
        <row r="38">
          <cell r="A38" t="str">
            <v>Cameroon</v>
          </cell>
          <cell r="B38">
            <v>120</v>
          </cell>
          <cell r="C38">
            <v>126075.06700000001</v>
          </cell>
          <cell r="D38">
            <v>157935.07500000001</v>
          </cell>
          <cell r="E38">
            <v>6597.6350000000002</v>
          </cell>
          <cell r="F38">
            <v>8118.7049999999999</v>
          </cell>
          <cell r="G38">
            <v>6704.64</v>
          </cell>
          <cell r="H38">
            <v>8203.1579999999994</v>
          </cell>
          <cell r="I38">
            <v>22.074999999999999</v>
          </cell>
          <cell r="J38">
            <v>18.802000000000003</v>
          </cell>
          <cell r="K38">
            <v>22.078999999999997</v>
          </cell>
          <cell r="L38">
            <v>18.635000000000002</v>
          </cell>
          <cell r="M38">
            <v>-0.249</v>
          </cell>
          <cell r="N38">
            <v>13</v>
          </cell>
          <cell r="O38">
            <v>-4.0000000000000001E-3</v>
          </cell>
          <cell r="P38">
            <v>0.16700000000000001</v>
          </cell>
          <cell r="Q38">
            <v>-9.3610500616927023E-3</v>
          </cell>
          <cell r="R38">
            <v>0.46484302787306064</v>
          </cell>
          <cell r="S38">
            <v>26891.46</v>
          </cell>
          <cell r="T38">
            <v>26998.800999999999</v>
          </cell>
        </row>
        <row r="39">
          <cell r="A39" t="str">
            <v>Canada</v>
          </cell>
          <cell r="B39">
            <v>124</v>
          </cell>
          <cell r="C39">
            <v>68395.835000000006</v>
          </cell>
          <cell r="D39">
            <v>83054.478000000003</v>
          </cell>
          <cell r="E39">
            <v>14503.314</v>
          </cell>
          <cell r="F39">
            <v>15993.69</v>
          </cell>
          <cell r="G39">
            <v>14798.777</v>
          </cell>
          <cell r="H39">
            <v>16274.553</v>
          </cell>
          <cell r="I39">
            <v>9.2480000000000011</v>
          </cell>
          <cell r="J39">
            <v>10.033000000000001</v>
          </cell>
          <cell r="K39">
            <v>4.3630000000000004</v>
          </cell>
          <cell r="L39">
            <v>3.3650000000000002</v>
          </cell>
          <cell r="M39">
            <v>732.60299999999995</v>
          </cell>
          <cell r="N39">
            <v>1049.53</v>
          </cell>
          <cell r="O39">
            <v>4.8849999999999998</v>
          </cell>
          <cell r="P39">
            <v>6.6680000000000001</v>
          </cell>
          <cell r="Q39">
            <v>42.138178839772614</v>
          </cell>
          <cell r="R39">
            <v>63.218795835328635</v>
          </cell>
          <cell r="S39">
            <v>42844.262999999999</v>
          </cell>
          <cell r="T39">
            <v>30772.048999999999</v>
          </cell>
        </row>
        <row r="40">
          <cell r="A40" t="str">
            <v>Cape Verde</v>
          </cell>
          <cell r="B40">
            <v>132</v>
          </cell>
          <cell r="C40">
            <v>525.73599999999999</v>
          </cell>
          <cell r="D40">
            <v>812.84199999999998</v>
          </cell>
          <cell r="E40">
            <v>189.761</v>
          </cell>
          <cell r="F40">
            <v>243.221</v>
          </cell>
          <cell r="G40">
            <v>211.34899999999999</v>
          </cell>
          <cell r="H40">
            <v>263.58600000000001</v>
          </cell>
          <cell r="I40">
            <v>23.242000000000001</v>
          </cell>
          <cell r="J40">
            <v>23.484999999999999</v>
          </cell>
          <cell r="K40">
            <v>25.59</v>
          </cell>
          <cell r="L40">
            <v>25.573999999999998</v>
          </cell>
          <cell r="M40">
            <v>-5</v>
          </cell>
          <cell r="N40">
            <v>-5</v>
          </cell>
          <cell r="O40">
            <v>-2.3479999999999999</v>
          </cell>
          <cell r="P40">
            <v>-2.089</v>
          </cell>
          <cell r="Q40">
            <v>-7.4156470152020777</v>
          </cell>
          <cell r="R40">
            <v>-6.7629713791051236</v>
          </cell>
          <cell r="S40">
            <v>1001.823</v>
          </cell>
          <cell r="T40">
            <v>1088.7149999999999</v>
          </cell>
        </row>
        <row r="41">
          <cell r="A41" t="str">
            <v>Cayman Islands</v>
          </cell>
          <cell r="B41">
            <v>136</v>
          </cell>
          <cell r="C41">
            <v>45006.607000000004</v>
          </cell>
          <cell r="D41">
            <v>47816.936000000002</v>
          </cell>
          <cell r="E41">
            <v>16.119</v>
          </cell>
          <cell r="F41">
            <v>22.155999999999999</v>
          </cell>
          <cell r="G41">
            <v>16.747</v>
          </cell>
          <cell r="H41">
            <v>22.861000000000001</v>
          </cell>
          <cell r="I41">
            <v>37.695999999999998</v>
          </cell>
          <cell r="J41">
            <v>25.08</v>
          </cell>
          <cell r="K41">
            <v>10.137</v>
          </cell>
          <cell r="L41">
            <v>8.5549999999999997</v>
          </cell>
          <cell r="M41">
            <v>5</v>
          </cell>
          <cell r="N41">
            <v>3.5</v>
          </cell>
          <cell r="O41">
            <v>27.559000000000001</v>
          </cell>
          <cell r="P41">
            <v>16.524999999999999</v>
          </cell>
          <cell r="Q41">
            <v>184.02649981597349</v>
          </cell>
          <cell r="R41">
            <v>124.42232492001422</v>
          </cell>
          <cell r="S41">
            <v>58.712000000000003</v>
          </cell>
          <cell r="T41">
            <v>45.597000000000001</v>
          </cell>
        </row>
        <row r="42">
          <cell r="A42" t="str">
            <v>Central African Republic</v>
          </cell>
          <cell r="B42">
            <v>140</v>
          </cell>
          <cell r="C42">
            <v>18681.849999999999</v>
          </cell>
          <cell r="D42">
            <v>24573.1</v>
          </cell>
          <cell r="E42">
            <v>1653.6579999999999</v>
          </cell>
          <cell r="F42">
            <v>1969.1289999999999</v>
          </cell>
          <cell r="G42">
            <v>1760.7460000000001</v>
          </cell>
          <cell r="H42">
            <v>2068.6179999999999</v>
          </cell>
          <cell r="I42">
            <v>20.190000000000001</v>
          </cell>
          <cell r="J42">
            <v>13.324999999999999</v>
          </cell>
          <cell r="K42">
            <v>19.562000000000001</v>
          </cell>
          <cell r="L42">
            <v>15.628</v>
          </cell>
          <cell r="M42">
            <v>11.292999999999999</v>
          </cell>
          <cell r="N42">
            <v>-45</v>
          </cell>
          <cell r="O42">
            <v>0.628</v>
          </cell>
          <cell r="P42">
            <v>-2.3029999999999999</v>
          </cell>
          <cell r="Q42">
            <v>1.5779905736966169</v>
          </cell>
          <cell r="R42">
            <v>-6.0981063347128606</v>
          </cell>
          <cell r="S42">
            <v>6747.3760000000002</v>
          </cell>
          <cell r="T42">
            <v>6770.2579999999998</v>
          </cell>
        </row>
        <row r="43">
          <cell r="A43" t="str">
            <v>Chad</v>
          </cell>
          <cell r="B43">
            <v>148</v>
          </cell>
          <cell r="C43">
            <v>3478.0370000000003</v>
          </cell>
          <cell r="D43">
            <v>4325.5390000000007</v>
          </cell>
          <cell r="E43">
            <v>3467.8710000000001</v>
          </cell>
          <cell r="F43">
            <v>4823.8069999999998</v>
          </cell>
          <cell r="G43">
            <v>3565.76</v>
          </cell>
          <cell r="H43">
            <v>4925.1239999999998</v>
          </cell>
          <cell r="I43">
            <v>31.003</v>
          </cell>
          <cell r="J43">
            <v>34.143000000000001</v>
          </cell>
          <cell r="K43">
            <v>28.393999999999998</v>
          </cell>
          <cell r="L43">
            <v>28.11</v>
          </cell>
          <cell r="M43">
            <v>99.444000000000003</v>
          </cell>
          <cell r="N43">
            <v>270.94099999999997</v>
          </cell>
          <cell r="O43">
            <v>2.609</v>
          </cell>
          <cell r="P43">
            <v>6.0330000000000004</v>
          </cell>
          <cell r="Q43">
            <v>5.4280918655586028</v>
          </cell>
          <cell r="R43">
            <v>12.506537358145675</v>
          </cell>
          <cell r="S43">
            <v>31496.758000000002</v>
          </cell>
          <cell r="T43">
            <v>32204.041000000001</v>
          </cell>
        </row>
        <row r="44">
          <cell r="A44" t="str">
            <v>Channel Islands</v>
          </cell>
          <cell r="B44">
            <v>830</v>
          </cell>
          <cell r="C44">
            <v>18872.165999999997</v>
          </cell>
          <cell r="D44">
            <v>20742.904999999999</v>
          </cell>
          <cell r="E44">
            <v>69.754000000000005</v>
          </cell>
          <cell r="F44">
            <v>73.183000000000007</v>
          </cell>
          <cell r="G44">
            <v>74.242000000000004</v>
          </cell>
          <cell r="H44">
            <v>76.28</v>
          </cell>
          <cell r="I44">
            <v>3.6869999999999994</v>
          </cell>
          <cell r="J44">
            <v>3.7660000000000009</v>
          </cell>
          <cell r="K44">
            <v>0.2159999999999993</v>
          </cell>
          <cell r="L44">
            <v>0.38900000000000112</v>
          </cell>
          <cell r="M44">
            <v>2.5219999999999998</v>
          </cell>
          <cell r="N44">
            <v>2.5</v>
          </cell>
          <cell r="O44">
            <v>3.4710000000000001</v>
          </cell>
          <cell r="P44">
            <v>3.3769999999999998</v>
          </cell>
          <cell r="Q44">
            <v>30.714894653513575</v>
          </cell>
          <cell r="R44">
            <v>32.68401098182769</v>
          </cell>
          <cell r="S44">
            <v>171.155</v>
          </cell>
          <cell r="T44">
            <v>134.10599999999999</v>
          </cell>
        </row>
        <row r="45">
          <cell r="A45" t="str">
            <v>Chile</v>
          </cell>
          <cell r="B45">
            <v>152</v>
          </cell>
          <cell r="C45">
            <v>14754.705</v>
          </cell>
          <cell r="D45">
            <v>19043.381999999998</v>
          </cell>
          <cell r="E45">
            <v>7121.0780000000004</v>
          </cell>
          <cell r="F45">
            <v>8061.241</v>
          </cell>
          <cell r="G45">
            <v>7273.857</v>
          </cell>
          <cell r="H45">
            <v>8233.8610000000008</v>
          </cell>
          <cell r="I45">
            <v>13.645999999999999</v>
          </cell>
          <cell r="J45">
            <v>11.143000000000001</v>
          </cell>
          <cell r="K45">
            <v>12.840999999999999</v>
          </cell>
          <cell r="L45">
            <v>10.765000000000001</v>
          </cell>
          <cell r="M45">
            <v>60</v>
          </cell>
          <cell r="N45">
            <v>30</v>
          </cell>
          <cell r="O45">
            <v>0.80500000000000005</v>
          </cell>
          <cell r="P45">
            <v>0.378</v>
          </cell>
          <cell r="Q45">
            <v>4.468231987625976</v>
          </cell>
          <cell r="R45">
            <v>2.4054131417341589</v>
          </cell>
          <cell r="S45">
            <v>20657.496999999999</v>
          </cell>
          <cell r="T45">
            <v>20300.458999999999</v>
          </cell>
        </row>
        <row r="46">
          <cell r="A46" t="str">
            <v>China</v>
          </cell>
          <cell r="B46">
            <v>156</v>
          </cell>
          <cell r="C46">
            <v>5769.6820000000007</v>
          </cell>
          <cell r="D46">
            <v>6506.98</v>
          </cell>
          <cell r="E46">
            <v>628309.10699999996</v>
          </cell>
          <cell r="F46">
            <v>675851.99100000004</v>
          </cell>
          <cell r="G46">
            <v>591022.32200000004</v>
          </cell>
          <cell r="H46">
            <v>639991.55299999996</v>
          </cell>
          <cell r="I46">
            <v>8.7669999999999995</v>
          </cell>
          <cell r="J46">
            <v>6.4659999999999993</v>
          </cell>
          <cell r="K46">
            <v>9.08</v>
          </cell>
          <cell r="L46">
            <v>6.7669999999999995</v>
          </cell>
          <cell r="M46">
            <v>-1950</v>
          </cell>
          <cell r="N46">
            <v>-1950</v>
          </cell>
          <cell r="O46">
            <v>-0.313</v>
          </cell>
          <cell r="P46">
            <v>-0.30099999999999999</v>
          </cell>
          <cell r="Q46">
            <v>-1.9508400122008533</v>
          </cell>
          <cell r="R46">
            <v>-2.2211735751695483</v>
          </cell>
          <cell r="S46">
            <v>1392306.6570000001</v>
          </cell>
          <cell r="T46">
            <v>1410171.9440000001</v>
          </cell>
        </row>
        <row r="47">
          <cell r="A47" t="str">
            <v>China, Hong Kong Special Administrative Region</v>
          </cell>
          <cell r="B47">
            <v>344</v>
          </cell>
          <cell r="C47">
            <v>58335.951000000001</v>
          </cell>
          <cell r="D47">
            <v>64232.758000000002</v>
          </cell>
          <cell r="E47">
            <v>3074.0259999999998</v>
          </cell>
          <cell r="F47">
            <v>3313.3040000000001</v>
          </cell>
          <cell r="G47">
            <v>3112.5129999999999</v>
          </cell>
          <cell r="H47">
            <v>3727.5810000000001</v>
          </cell>
          <cell r="I47">
            <v>14.048999999999999</v>
          </cell>
          <cell r="J47">
            <v>11.812999999999999</v>
          </cell>
          <cell r="K47">
            <v>4.6909999999999998</v>
          </cell>
          <cell r="L47">
            <v>3.04</v>
          </cell>
          <cell r="M47">
            <v>300</v>
          </cell>
          <cell r="N47">
            <v>300</v>
          </cell>
          <cell r="O47">
            <v>9.3580000000000005</v>
          </cell>
          <cell r="P47">
            <v>8.7729999999999997</v>
          </cell>
          <cell r="Q47">
            <v>95.166493780869615</v>
          </cell>
          <cell r="R47">
            <v>105.27276172563111</v>
          </cell>
          <cell r="S47">
            <v>9234.5949999999993</v>
          </cell>
          <cell r="T47">
            <v>5858.4589999999998</v>
          </cell>
        </row>
        <row r="48">
          <cell r="A48" t="str">
            <v>China, Macao Special Administrative Region</v>
          </cell>
          <cell r="B48">
            <v>446</v>
          </cell>
          <cell r="C48">
            <v>62620.415999999997</v>
          </cell>
          <cell r="D48">
            <v>73192.838000000003</v>
          </cell>
          <cell r="E48">
            <v>200.01400000000001</v>
          </cell>
          <cell r="F48">
            <v>221.416</v>
          </cell>
          <cell r="G48">
            <v>212.81800000000001</v>
          </cell>
          <cell r="H48">
            <v>238.74600000000001</v>
          </cell>
          <cell r="I48">
            <v>14.342000000000001</v>
          </cell>
          <cell r="J48">
            <v>7.359</v>
          </cell>
          <cell r="K48">
            <v>6.6820000000000004</v>
          </cell>
          <cell r="L48">
            <v>2.9329999999999998</v>
          </cell>
          <cell r="M48">
            <v>16.399999999999999</v>
          </cell>
          <cell r="N48">
            <v>10</v>
          </cell>
          <cell r="O48">
            <v>7.66</v>
          </cell>
          <cell r="P48">
            <v>4.4260000000000002</v>
          </cell>
          <cell r="Q48">
            <v>70.343999313717077</v>
          </cell>
          <cell r="R48">
            <v>60.812454390659212</v>
          </cell>
          <cell r="S48">
            <v>519.55799999999999</v>
          </cell>
          <cell r="T48">
            <v>397.58799999999997</v>
          </cell>
        </row>
        <row r="49">
          <cell r="A49" t="str">
            <v>Colombia</v>
          </cell>
          <cell r="B49">
            <v>170</v>
          </cell>
          <cell r="C49">
            <v>4192.9790000000003</v>
          </cell>
          <cell r="D49">
            <v>4833.2659999999996</v>
          </cell>
          <cell r="E49">
            <v>19049.126</v>
          </cell>
          <cell r="F49">
            <v>22530.208999999999</v>
          </cell>
          <cell r="G49">
            <v>19492.498</v>
          </cell>
          <cell r="H49">
            <v>23070.035</v>
          </cell>
          <cell r="I49">
            <v>17.745000000000001</v>
          </cell>
          <cell r="J49">
            <v>15.868999999999998</v>
          </cell>
          <cell r="K49">
            <v>18.736999999999998</v>
          </cell>
          <cell r="L49">
            <v>16.780999999999999</v>
          </cell>
          <cell r="M49">
            <v>-200</v>
          </cell>
          <cell r="N49">
            <v>-200</v>
          </cell>
          <cell r="O49">
            <v>-0.99199999999999999</v>
          </cell>
          <cell r="P49">
            <v>-0.91200000000000003</v>
          </cell>
          <cell r="Q49">
            <v>-4.0564314517846469</v>
          </cell>
          <cell r="R49">
            <v>-4.1042891668723946</v>
          </cell>
          <cell r="S49">
            <v>65679.178</v>
          </cell>
          <cell r="T49">
            <v>68290.914000000004</v>
          </cell>
        </row>
        <row r="50">
          <cell r="A50" t="str">
            <v>Comoros</v>
          </cell>
          <cell r="B50">
            <v>174</v>
          </cell>
          <cell r="C50">
            <v>2434.931</v>
          </cell>
          <cell r="D50">
            <v>4495.8230000000003</v>
          </cell>
          <cell r="E50">
            <v>304.02100000000002</v>
          </cell>
          <cell r="F50">
            <v>400.29300000000001</v>
          </cell>
          <cell r="G50">
            <v>303.096</v>
          </cell>
          <cell r="H50">
            <v>397.60899999999998</v>
          </cell>
          <cell r="I50">
            <v>28.15</v>
          </cell>
          <cell r="J50">
            <v>26.417999999999999</v>
          </cell>
          <cell r="K50">
            <v>29.987000000000002</v>
          </cell>
          <cell r="L50">
            <v>29.09</v>
          </cell>
          <cell r="M50">
            <v>-6</v>
          </cell>
          <cell r="N50">
            <v>-10</v>
          </cell>
          <cell r="O50">
            <v>-1.837</v>
          </cell>
          <cell r="P50">
            <v>-2.6720000000000002</v>
          </cell>
          <cell r="Q50">
            <v>-4.7716753352101922</v>
          </cell>
          <cell r="R50">
            <v>-7.3154494977943925</v>
          </cell>
          <cell r="S50">
            <v>1780.857</v>
          </cell>
          <cell r="T50">
            <v>1847.153</v>
          </cell>
        </row>
        <row r="51">
          <cell r="A51" t="str">
            <v>Congo</v>
          </cell>
          <cell r="B51">
            <v>178</v>
          </cell>
          <cell r="C51">
            <v>22918.446</v>
          </cell>
          <cell r="D51">
            <v>26593.123</v>
          </cell>
          <cell r="E51">
            <v>1439.049</v>
          </cell>
          <cell r="F51">
            <v>1983.096</v>
          </cell>
          <cell r="G51">
            <v>1476.5450000000001</v>
          </cell>
          <cell r="H51">
            <v>2015.808</v>
          </cell>
          <cell r="I51">
            <v>32.877000000000002</v>
          </cell>
          <cell r="J51">
            <v>30.18</v>
          </cell>
          <cell r="K51">
            <v>30.261000000000003</v>
          </cell>
          <cell r="L51">
            <v>30.933</v>
          </cell>
          <cell r="M51">
            <v>41.552</v>
          </cell>
          <cell r="N51">
            <v>-14</v>
          </cell>
          <cell r="O51">
            <v>2.6160000000000001</v>
          </cell>
          <cell r="P51">
            <v>-0.753</v>
          </cell>
          <cell r="Q51">
            <v>5.9378492158986651</v>
          </cell>
          <cell r="R51">
            <v>-1.7069819218421749</v>
          </cell>
          <cell r="S51">
            <v>13720.878000000001</v>
          </cell>
          <cell r="T51">
            <v>13887.059000000001</v>
          </cell>
        </row>
        <row r="52">
          <cell r="A52" t="str">
            <v>Cook Islands</v>
          </cell>
          <cell r="B52">
            <v>184</v>
          </cell>
          <cell r="C52">
            <v>73163.45</v>
          </cell>
          <cell r="D52">
            <v>84238.231</v>
          </cell>
          <cell r="E52">
            <v>10.340999999999999</v>
          </cell>
          <cell r="F52">
            <v>9.1709999999999994</v>
          </cell>
          <cell r="G52">
            <v>9.6140000000000008</v>
          </cell>
          <cell r="H52">
            <v>8.7829999999999995</v>
          </cell>
          <cell r="I52">
            <v>-11.613</v>
          </cell>
          <cell r="J52">
            <v>-9.5150000000000006</v>
          </cell>
          <cell r="K52">
            <v>18.202999999999999</v>
          </cell>
          <cell r="L52">
            <v>12.234</v>
          </cell>
          <cell r="M52">
            <v>-2.891</v>
          </cell>
          <cell r="N52">
            <v>-2</v>
          </cell>
          <cell r="O52">
            <v>-29.815999999999999</v>
          </cell>
          <cell r="P52">
            <v>-21.748999999999999</v>
          </cell>
          <cell r="Q52">
            <v>-117.95185638514891</v>
          </cell>
          <cell r="R52">
            <v>-111.48272017837235</v>
          </cell>
          <cell r="S52">
            <v>11.705</v>
          </cell>
          <cell r="T52">
            <v>24.170999999999999</v>
          </cell>
        </row>
        <row r="53">
          <cell r="A53" t="str">
            <v>Costa Rica</v>
          </cell>
          <cell r="B53">
            <v>188</v>
          </cell>
          <cell r="C53">
            <v>15218.67</v>
          </cell>
          <cell r="D53">
            <v>20974.654999999999</v>
          </cell>
          <cell r="E53">
            <v>1767.5640000000001</v>
          </cell>
          <cell r="F53">
            <v>2199.7840000000001</v>
          </cell>
          <cell r="G53">
            <v>1707.3330000000001</v>
          </cell>
          <cell r="H53">
            <v>2127.444</v>
          </cell>
          <cell r="I53">
            <v>24.524000000000001</v>
          </cell>
          <cell r="J53">
            <v>19.304000000000002</v>
          </cell>
          <cell r="K53">
            <v>17.634</v>
          </cell>
          <cell r="L53">
            <v>15.234000000000002</v>
          </cell>
          <cell r="M53">
            <v>127.521</v>
          </cell>
          <cell r="N53">
            <v>84</v>
          </cell>
          <cell r="O53">
            <v>6.89</v>
          </cell>
          <cell r="P53">
            <v>4.07</v>
          </cell>
          <cell r="Q53">
            <v>32.125690273690999</v>
          </cell>
          <cell r="R53">
            <v>21.292343881492897</v>
          </cell>
          <cell r="S53">
            <v>6425.9880000000003</v>
          </cell>
          <cell r="T53">
            <v>6040.558</v>
          </cell>
        </row>
        <row r="54">
          <cell r="A54" t="str">
            <v>Côte d'Ivoire</v>
          </cell>
          <cell r="B54">
            <v>384</v>
          </cell>
          <cell r="C54">
            <v>3133.0650000000001</v>
          </cell>
          <cell r="D54">
            <v>3129.6779999999999</v>
          </cell>
          <cell r="E54">
            <v>7569.4750000000004</v>
          </cell>
          <cell r="F54">
            <v>9230.2430000000004</v>
          </cell>
          <cell r="G54">
            <v>7185.83</v>
          </cell>
          <cell r="H54">
            <v>8923.6239999999998</v>
          </cell>
          <cell r="I54">
            <v>25.146000000000001</v>
          </cell>
          <cell r="J54">
            <v>16.268000000000001</v>
          </cell>
          <cell r="K54">
            <v>23.241</v>
          </cell>
          <cell r="L54">
            <v>20.523</v>
          </cell>
          <cell r="M54">
            <v>150</v>
          </cell>
          <cell r="N54">
            <v>-371.15899999999999</v>
          </cell>
          <cell r="O54">
            <v>1.905</v>
          </cell>
          <cell r="P54">
            <v>-4.2549999999999999</v>
          </cell>
          <cell r="Q54">
            <v>4.863051603785788</v>
          </cell>
          <cell r="R54">
            <v>-11.334559750905306</v>
          </cell>
          <cell r="S54">
            <v>33958.881999999998</v>
          </cell>
          <cell r="T54">
            <v>33956.323000000004</v>
          </cell>
        </row>
        <row r="55">
          <cell r="A55" t="str">
            <v>Croatia</v>
          </cell>
          <cell r="B55">
            <v>191</v>
          </cell>
          <cell r="C55">
            <v>28270.78</v>
          </cell>
          <cell r="D55">
            <v>32853.798000000003</v>
          </cell>
          <cell r="E55">
            <v>2250.2260000000001</v>
          </cell>
          <cell r="F55">
            <v>2190.7510000000002</v>
          </cell>
          <cell r="G55">
            <v>2418.7759999999998</v>
          </cell>
          <cell r="H55">
            <v>2360.587</v>
          </cell>
          <cell r="I55">
            <v>-7.133</v>
          </cell>
          <cell r="J55">
            <v>2.0280000000000005</v>
          </cell>
          <cell r="K55">
            <v>-0.59299999999999997</v>
          </cell>
          <cell r="L55">
            <v>-2.3889999999999993</v>
          </cell>
          <cell r="M55">
            <v>-150</v>
          </cell>
          <cell r="N55">
            <v>100</v>
          </cell>
          <cell r="O55">
            <v>-6.54</v>
          </cell>
          <cell r="P55">
            <v>4.4169999999999998</v>
          </cell>
          <cell r="Q55">
            <v>-62.448739992589417</v>
          </cell>
          <cell r="R55">
            <v>48.553352851781177</v>
          </cell>
          <cell r="S55">
            <v>3685.55</v>
          </cell>
          <cell r="T55">
            <v>3645.192</v>
          </cell>
        </row>
        <row r="56">
          <cell r="A56" t="str">
            <v>Cuba</v>
          </cell>
          <cell r="B56">
            <v>192</v>
          </cell>
          <cell r="C56">
            <v>53.016999999999996</v>
          </cell>
          <cell r="D56">
            <v>64.869</v>
          </cell>
          <cell r="E56">
            <v>5453.5050000000001</v>
          </cell>
          <cell r="F56">
            <v>5639.3720000000003</v>
          </cell>
          <cell r="G56">
            <v>5413.2759999999998</v>
          </cell>
          <cell r="H56">
            <v>5630.0280000000002</v>
          </cell>
          <cell r="I56">
            <v>4.6900000000000004</v>
          </cell>
          <cell r="J56">
            <v>2.585</v>
          </cell>
          <cell r="K56">
            <v>6.5090000000000003</v>
          </cell>
          <cell r="L56">
            <v>5.4430000000000005</v>
          </cell>
          <cell r="M56">
            <v>-100</v>
          </cell>
          <cell r="N56">
            <v>-160</v>
          </cell>
          <cell r="O56">
            <v>-1.819</v>
          </cell>
          <cell r="P56">
            <v>-2.8580000000000001</v>
          </cell>
          <cell r="Q56">
            <v>-13.738415081482541</v>
          </cell>
          <cell r="R56">
            <v>-22.971409209812236</v>
          </cell>
          <cell r="S56">
            <v>9748.9930000000004</v>
          </cell>
          <cell r="T56">
            <v>11273.366</v>
          </cell>
        </row>
        <row r="57">
          <cell r="A57" t="str">
            <v>Cyprus</v>
          </cell>
          <cell r="B57">
            <v>196</v>
          </cell>
          <cell r="C57">
            <v>64.260999999999996</v>
          </cell>
          <cell r="D57">
            <v>67.15100000000001</v>
          </cell>
          <cell r="E57">
            <v>364.87</v>
          </cell>
          <cell r="F57">
            <v>406.37099999999998</v>
          </cell>
          <cell r="G57">
            <v>366.14600000000002</v>
          </cell>
          <cell r="H57">
            <v>428.93599999999998</v>
          </cell>
          <cell r="I57">
            <v>14.584</v>
          </cell>
          <cell r="J57">
            <v>12.077999999999999</v>
          </cell>
          <cell r="K57">
            <v>6.9560000000000004</v>
          </cell>
          <cell r="L57">
            <v>4.9409999999999998</v>
          </cell>
          <cell r="M57">
            <v>28.936</v>
          </cell>
          <cell r="N57">
            <v>28.936</v>
          </cell>
          <cell r="O57">
            <v>7.6280000000000001</v>
          </cell>
          <cell r="P57">
            <v>7.1369999999999996</v>
          </cell>
          <cell r="Q57">
            <v>54.422689913295343</v>
          </cell>
          <cell r="R57">
            <v>58.817790064232867</v>
          </cell>
          <cell r="S57">
            <v>1174.3890000000001</v>
          </cell>
          <cell r="T57">
            <v>871.88900000000001</v>
          </cell>
        </row>
        <row r="58">
          <cell r="A58" t="str">
            <v>Czech Republic</v>
          </cell>
          <cell r="B58">
            <v>203</v>
          </cell>
          <cell r="C58">
            <v>12279.707</v>
          </cell>
          <cell r="D58">
            <v>15941.392</v>
          </cell>
          <cell r="E58">
            <v>5020.1629999999996</v>
          </cell>
          <cell r="F58">
            <v>4974.7160000000003</v>
          </cell>
          <cell r="G58">
            <v>5310.5959999999995</v>
          </cell>
          <cell r="H58">
            <v>5244.8869999999997</v>
          </cell>
          <cell r="I58">
            <v>-1.2340000000000002</v>
          </cell>
          <cell r="J58">
            <v>-0.93100000000000005</v>
          </cell>
          <cell r="K58">
            <v>-2.2370000000000001</v>
          </cell>
          <cell r="L58">
            <v>-1.907</v>
          </cell>
          <cell r="M58">
            <v>51.673000000000002</v>
          </cell>
          <cell r="N58">
            <v>50</v>
          </cell>
          <cell r="O58">
            <v>1.0029999999999999</v>
          </cell>
          <cell r="P58">
            <v>0.97599999999999998</v>
          </cell>
          <cell r="Q58">
            <v>11.450699699732974</v>
          </cell>
          <cell r="R58">
            <v>11.001705264315968</v>
          </cell>
          <cell r="S58">
            <v>8452.1090000000004</v>
          </cell>
          <cell r="T58">
            <v>8061.1450000000004</v>
          </cell>
        </row>
        <row r="59">
          <cell r="A59" t="str">
            <v>Democratic People's Republic of Korea</v>
          </cell>
          <cell r="B59">
            <v>408</v>
          </cell>
          <cell r="C59">
            <v>10.313000000000001</v>
          </cell>
          <cell r="D59">
            <v>12.205</v>
          </cell>
          <cell r="E59">
            <v>10529.516</v>
          </cell>
          <cell r="F59">
            <v>11232.781000000001</v>
          </cell>
          <cell r="G59">
            <v>10388.879999999999</v>
          </cell>
          <cell r="H59">
            <v>11254.88</v>
          </cell>
          <cell r="I59">
            <v>8.8240000000000016</v>
          </cell>
          <cell r="J59">
            <v>5.6410000000000018</v>
          </cell>
          <cell r="K59">
            <v>8.8240000000000016</v>
          </cell>
          <cell r="L59">
            <v>5.6410000000000018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24192.089</v>
          </cell>
          <cell r="T59">
            <v>24192.089</v>
          </cell>
        </row>
        <row r="60">
          <cell r="A60" t="str">
            <v>Democratic Republic of the Congo</v>
          </cell>
          <cell r="B60">
            <v>180</v>
          </cell>
          <cell r="C60">
            <v>69.606999999999999</v>
          </cell>
          <cell r="D60">
            <v>81.484999999999999</v>
          </cell>
          <cell r="E60">
            <v>22209.9</v>
          </cell>
          <cell r="F60">
            <v>28541.651000000002</v>
          </cell>
          <cell r="G60">
            <v>22788.661</v>
          </cell>
          <cell r="H60">
            <v>29007.093000000001</v>
          </cell>
          <cell r="I60">
            <v>21.266000000000002</v>
          </cell>
          <cell r="J60">
            <v>27.868000000000002</v>
          </cell>
          <cell r="K60">
            <v>27.201000000000001</v>
          </cell>
          <cell r="L60">
            <v>29.063000000000002</v>
          </cell>
          <cell r="M60">
            <v>-1410.32</v>
          </cell>
          <cell r="N60">
            <v>-321.565</v>
          </cell>
          <cell r="O60">
            <v>-5.9349999999999996</v>
          </cell>
          <cell r="P60">
            <v>-1.1950000000000001</v>
          </cell>
          <cell r="Q60">
            <v>-12.113662906528393</v>
          </cell>
          <cell r="R60">
            <v>-2.4173697297333057</v>
          </cell>
          <cell r="S60">
            <v>177271.02</v>
          </cell>
          <cell r="T60">
            <v>178006.40899999999</v>
          </cell>
        </row>
        <row r="61">
          <cell r="A61" t="str">
            <v>East Timor</v>
          </cell>
          <cell r="B61">
            <v>626</v>
          </cell>
          <cell r="C61">
            <v>34834.902000000002</v>
          </cell>
          <cell r="D61">
            <v>38747.148000000001</v>
          </cell>
          <cell r="E61">
            <v>435.625</v>
          </cell>
          <cell r="F61">
            <v>491.74900000000002</v>
          </cell>
          <cell r="G61">
            <v>411.96100000000001</v>
          </cell>
          <cell r="H61">
            <v>455.315</v>
          </cell>
          <cell r="I61">
            <v>-31.978000000000002</v>
          </cell>
          <cell r="J61">
            <v>53.91</v>
          </cell>
          <cell r="K61">
            <v>18.988</v>
          </cell>
          <cell r="L61">
            <v>34.739000000000004</v>
          </cell>
          <cell r="M61">
            <v>-200</v>
          </cell>
          <cell r="N61">
            <v>80</v>
          </cell>
          <cell r="O61">
            <v>-50.966000000000001</v>
          </cell>
          <cell r="P61">
            <v>19.170999999999999</v>
          </cell>
          <cell r="Q61">
            <v>-163.69559167771612</v>
          </cell>
          <cell r="R61">
            <v>40.480708412397213</v>
          </cell>
          <cell r="S61">
            <v>3264.951</v>
          </cell>
          <cell r="T61">
            <v>2942.2879999999996</v>
          </cell>
        </row>
        <row r="62">
          <cell r="A62" t="str">
            <v>Denmark</v>
          </cell>
          <cell r="B62">
            <v>208</v>
          </cell>
          <cell r="C62">
            <v>84.293000000000006</v>
          </cell>
          <cell r="D62">
            <v>99.468000000000004</v>
          </cell>
          <cell r="E62">
            <v>2579.828</v>
          </cell>
          <cell r="F62">
            <v>2687.6770000000001</v>
          </cell>
          <cell r="G62">
            <v>2648.0329999999999</v>
          </cell>
          <cell r="H62">
            <v>2742.913</v>
          </cell>
          <cell r="I62">
            <v>4.229000000000001</v>
          </cell>
          <cell r="J62">
            <v>3.379</v>
          </cell>
          <cell r="K62">
            <v>1.0680000000000014</v>
          </cell>
          <cell r="L62">
            <v>1.1280000000000001</v>
          </cell>
          <cell r="M62">
            <v>83.507999999999996</v>
          </cell>
          <cell r="N62">
            <v>60.613</v>
          </cell>
          <cell r="O62">
            <v>3.161</v>
          </cell>
          <cell r="P62">
            <v>2.2509999999999999</v>
          </cell>
          <cell r="Q62">
            <v>25.101976403396709</v>
          </cell>
          <cell r="R62">
            <v>18.852308601464941</v>
          </cell>
          <cell r="S62">
            <v>5851.2370000000001</v>
          </cell>
          <cell r="T62">
            <v>5077.5619999999999</v>
          </cell>
        </row>
        <row r="63">
          <cell r="A63" t="str">
            <v>Djibouti</v>
          </cell>
          <cell r="B63">
            <v>262</v>
          </cell>
          <cell r="C63">
            <v>17940.709000000003</v>
          </cell>
          <cell r="D63">
            <v>20155.129000000001</v>
          </cell>
          <cell r="E63">
            <v>303.73</v>
          </cell>
          <cell r="F63">
            <v>396.476</v>
          </cell>
          <cell r="G63">
            <v>305.00099999999998</v>
          </cell>
          <cell r="H63">
            <v>396.60199999999998</v>
          </cell>
          <cell r="I63">
            <v>31.993000000000002</v>
          </cell>
          <cell r="J63">
            <v>20.828000000000003</v>
          </cell>
          <cell r="K63">
            <v>25.862000000000002</v>
          </cell>
          <cell r="L63">
            <v>23.426000000000002</v>
          </cell>
          <cell r="M63">
            <v>20.283999999999999</v>
          </cell>
          <cell r="N63">
            <v>-9.7940000000000005</v>
          </cell>
          <cell r="O63">
            <v>6.1310000000000002</v>
          </cell>
          <cell r="P63">
            <v>-2.5979999999999999</v>
          </cell>
          <cell r="Q63">
            <v>15.706741416425329</v>
          </cell>
          <cell r="R63">
            <v>-7.1877820914581791</v>
          </cell>
          <cell r="S63">
            <v>1547.1860000000001</v>
          </cell>
          <cell r="T63">
            <v>1574.357</v>
          </cell>
        </row>
        <row r="64">
          <cell r="A64" t="str">
            <v>Dominica</v>
          </cell>
          <cell r="B64">
            <v>212</v>
          </cell>
          <cell r="C64">
            <v>8046.5349999999999</v>
          </cell>
          <cell r="D64">
            <v>8189.4440000000004</v>
          </cell>
          <cell r="E64">
            <v>37.381999999999998</v>
          </cell>
          <cell r="F64">
            <v>39.197000000000003</v>
          </cell>
          <cell r="G64">
            <v>37.698999999999998</v>
          </cell>
          <cell r="H64">
            <v>39.743000000000002</v>
          </cell>
          <cell r="I64">
            <v>7.149</v>
          </cell>
          <cell r="J64">
            <v>2.8730000000000011</v>
          </cell>
          <cell r="K64">
            <v>14.247</v>
          </cell>
          <cell r="L64">
            <v>12.251000000000001</v>
          </cell>
          <cell r="M64">
            <v>-2.7130000000000001</v>
          </cell>
          <cell r="N64">
            <v>-3.6749999999999998</v>
          </cell>
          <cell r="O64">
            <v>-7.0979999999999999</v>
          </cell>
          <cell r="P64">
            <v>-9.3780000000000001</v>
          </cell>
          <cell r="Q64">
            <v>-38.946310651737008</v>
          </cell>
          <cell r="R64">
            <v>-56.932610379550731</v>
          </cell>
          <cell r="S64">
            <v>98.382000000000005</v>
          </cell>
          <cell r="T64">
            <v>98.382000000000005</v>
          </cell>
        </row>
        <row r="65">
          <cell r="A65" t="str">
            <v>Dominican Republic</v>
          </cell>
          <cell r="B65">
            <v>214</v>
          </cell>
          <cell r="C65">
            <v>279.11700000000002</v>
          </cell>
          <cell r="D65">
            <v>323.06299999999999</v>
          </cell>
          <cell r="E65">
            <v>3892.087</v>
          </cell>
          <cell r="F65">
            <v>4489.558</v>
          </cell>
          <cell r="G65">
            <v>3780.2579999999998</v>
          </cell>
          <cell r="H65">
            <v>4405.3490000000002</v>
          </cell>
          <cell r="I65">
            <v>14.872</v>
          </cell>
          <cell r="J65">
            <v>14.685999999999998</v>
          </cell>
          <cell r="K65">
            <v>19.39</v>
          </cell>
          <cell r="L65">
            <v>17.948999999999998</v>
          </cell>
          <cell r="M65">
            <v>-180</v>
          </cell>
          <cell r="N65">
            <v>-140</v>
          </cell>
          <cell r="O65">
            <v>-4.5179999999999998</v>
          </cell>
          <cell r="P65">
            <v>-3.2629999999999999</v>
          </cell>
          <cell r="Q65">
            <v>-17.546031526319535</v>
          </cell>
          <cell r="R65">
            <v>-13.339952490712056</v>
          </cell>
          <cell r="S65">
            <v>12668.103999999999</v>
          </cell>
          <cell r="T65">
            <v>14191.045</v>
          </cell>
        </row>
        <row r="66">
          <cell r="A66" t="str">
            <v>Ecuador</v>
          </cell>
          <cell r="B66">
            <v>218</v>
          </cell>
          <cell r="C66">
            <v>262.05099999999999</v>
          </cell>
          <cell r="D66">
            <v>269.55599999999998</v>
          </cell>
          <cell r="E66">
            <v>5726.9350000000004</v>
          </cell>
          <cell r="F66">
            <v>6633.4089999999997</v>
          </cell>
          <cell r="G66">
            <v>5669.4589999999998</v>
          </cell>
          <cell r="H66">
            <v>6595.0140000000001</v>
          </cell>
          <cell r="I66">
            <v>15.343000000000004</v>
          </cell>
          <cell r="J66">
            <v>14.456999999999997</v>
          </cell>
          <cell r="K66">
            <v>20.406000000000002</v>
          </cell>
          <cell r="L66">
            <v>18.372999999999998</v>
          </cell>
          <cell r="M66">
            <v>-300</v>
          </cell>
          <cell r="N66">
            <v>-250</v>
          </cell>
          <cell r="O66">
            <v>-5.0629999999999997</v>
          </cell>
          <cell r="P66">
            <v>-3.9159999999999999</v>
          </cell>
          <cell r="Q66">
            <v>-19.774726317787763</v>
          </cell>
          <cell r="R66">
            <v>-16.798907667827805</v>
          </cell>
          <cell r="S66">
            <v>19213.918000000001</v>
          </cell>
          <cell r="T66">
            <v>20616.845999999998</v>
          </cell>
        </row>
        <row r="67">
          <cell r="A67" t="str">
            <v>Egypt</v>
          </cell>
          <cell r="B67">
            <v>818</v>
          </cell>
          <cell r="C67">
            <v>10248.776</v>
          </cell>
          <cell r="D67">
            <v>9755.1059999999998</v>
          </cell>
          <cell r="E67">
            <v>30799.675999999999</v>
          </cell>
          <cell r="F67">
            <v>37120.006999999998</v>
          </cell>
          <cell r="G67">
            <v>30425.059000000001</v>
          </cell>
          <cell r="H67">
            <v>36912.877</v>
          </cell>
          <cell r="I67">
            <v>18.864999999999998</v>
          </cell>
          <cell r="J67">
            <v>19.097999999999999</v>
          </cell>
          <cell r="K67">
            <v>20.420999999999999</v>
          </cell>
          <cell r="L67">
            <v>20.372</v>
          </cell>
          <cell r="M67">
            <v>-500</v>
          </cell>
          <cell r="N67">
            <v>-450</v>
          </cell>
          <cell r="O67">
            <v>-1.556</v>
          </cell>
          <cell r="P67">
            <v>-1.274</v>
          </cell>
          <cell r="Q67">
            <v>-5.7894653961337488</v>
          </cell>
          <cell r="R67">
            <v>-4.8375299443103552</v>
          </cell>
          <cell r="S67">
            <v>125915.92200000001</v>
          </cell>
          <cell r="T67">
            <v>131763.96100000001</v>
          </cell>
        </row>
        <row r="68">
          <cell r="A68" t="str">
            <v>El Salvador</v>
          </cell>
          <cell r="B68">
            <v>222</v>
          </cell>
          <cell r="C68">
            <v>10136.811</v>
          </cell>
          <cell r="D68">
            <v>10419.048999999999</v>
          </cell>
          <cell r="E68">
            <v>2776.2660000000001</v>
          </cell>
          <cell r="F68">
            <v>3382.0990000000002</v>
          </cell>
          <cell r="G68">
            <v>2892.34</v>
          </cell>
          <cell r="H68">
            <v>3498.8519999999999</v>
          </cell>
          <cell r="I68">
            <v>20.483000000000001</v>
          </cell>
          <cell r="J68">
            <v>18.248999999999999</v>
          </cell>
          <cell r="K68">
            <v>21.754999999999999</v>
          </cell>
          <cell r="L68">
            <v>19.404</v>
          </cell>
          <cell r="M68">
            <v>-38</v>
          </cell>
          <cell r="N68">
            <v>-38</v>
          </cell>
          <cell r="O68">
            <v>-1.272</v>
          </cell>
          <cell r="P68">
            <v>-1.155</v>
          </cell>
          <cell r="Q68">
            <v>-4.5892167897703944</v>
          </cell>
          <cell r="R68">
            <v>-4.573816585140392</v>
          </cell>
          <cell r="S68">
            <v>10822.907999999999</v>
          </cell>
          <cell r="T68">
            <v>11366.623</v>
          </cell>
        </row>
        <row r="69">
          <cell r="A69" t="str">
            <v>Equatorial Guinea</v>
          </cell>
          <cell r="B69">
            <v>226</v>
          </cell>
          <cell r="C69">
            <v>213.977</v>
          </cell>
          <cell r="D69">
            <v>269.73599999999999</v>
          </cell>
          <cell r="E69">
            <v>195.92099999999999</v>
          </cell>
          <cell r="F69">
            <v>249.18100000000001</v>
          </cell>
          <cell r="G69">
            <v>202.18700000000001</v>
          </cell>
          <cell r="H69">
            <v>254.33799999999999</v>
          </cell>
          <cell r="I69">
            <v>23.962000000000003</v>
          </cell>
          <cell r="J69">
            <v>22.963999999999999</v>
          </cell>
          <cell r="K69">
            <v>23.962000000000003</v>
          </cell>
          <cell r="L69">
            <v>22.963999999999999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1146.3150000000001</v>
          </cell>
          <cell r="T69">
            <v>1146.3150000000001</v>
          </cell>
        </row>
        <row r="70">
          <cell r="A70" t="str">
            <v>Eritrea</v>
          </cell>
          <cell r="B70">
            <v>232</v>
          </cell>
          <cell r="C70">
            <v>6200.6469999999999</v>
          </cell>
          <cell r="D70">
            <v>8438.8529999999992</v>
          </cell>
          <cell r="E70">
            <v>1508.8810000000001</v>
          </cell>
          <cell r="F70">
            <v>2160.73</v>
          </cell>
          <cell r="G70">
            <v>1588.376</v>
          </cell>
          <cell r="H70">
            <v>2240.627</v>
          </cell>
          <cell r="I70">
            <v>27.61</v>
          </cell>
          <cell r="J70">
            <v>42.465000000000003</v>
          </cell>
          <cell r="K70">
            <v>28.143999999999998</v>
          </cell>
          <cell r="L70">
            <v>28.393999999999998</v>
          </cell>
          <cell r="M70">
            <v>-8.8870000000000005</v>
          </cell>
          <cell r="N70">
            <v>279.93200000000002</v>
          </cell>
          <cell r="O70">
            <v>-0.53400000000000003</v>
          </cell>
          <cell r="P70">
            <v>14.071</v>
          </cell>
          <cell r="Q70">
            <v>-1.3051862317318723</v>
          </cell>
          <cell r="R70">
            <v>35.221452055104763</v>
          </cell>
          <cell r="S70">
            <v>11228.705999999998</v>
          </cell>
          <cell r="T70">
            <v>11133.190999999999</v>
          </cell>
        </row>
        <row r="71">
          <cell r="A71" t="str">
            <v>Estonia</v>
          </cell>
          <cell r="B71">
            <v>233</v>
          </cell>
          <cell r="C71">
            <v>61.42</v>
          </cell>
          <cell r="D71">
            <v>64.174000000000007</v>
          </cell>
          <cell r="E71">
            <v>670.31299999999999</v>
          </cell>
          <cell r="F71">
            <v>611.35299999999995</v>
          </cell>
          <cell r="G71">
            <v>776.524</v>
          </cell>
          <cell r="H71">
            <v>718.34400000000005</v>
          </cell>
          <cell r="I71">
            <v>-11.361999999999998</v>
          </cell>
          <cell r="J71">
            <v>-5.52</v>
          </cell>
          <cell r="K71">
            <v>-4.770999999999999</v>
          </cell>
          <cell r="L71">
            <v>-4.0370000000000008</v>
          </cell>
          <cell r="M71">
            <v>-46.363</v>
          </cell>
          <cell r="N71">
            <v>-10</v>
          </cell>
          <cell r="O71">
            <v>-6.5910000000000002</v>
          </cell>
          <cell r="P71">
            <v>-1.4830000000000001</v>
          </cell>
          <cell r="Q71">
            <v>-72.257028863537187</v>
          </cell>
          <cell r="R71">
            <v>-15.32919445083161</v>
          </cell>
          <cell r="S71">
            <v>1119.317</v>
          </cell>
          <cell r="T71">
            <v>1119.317</v>
          </cell>
        </row>
        <row r="72">
          <cell r="A72" t="str">
            <v>Ethiopia</v>
          </cell>
          <cell r="B72">
            <v>231</v>
          </cell>
          <cell r="C72">
            <v>7481.6939999999995</v>
          </cell>
          <cell r="D72">
            <v>9182.0149999999994</v>
          </cell>
          <cell r="E72">
            <v>29787.991999999998</v>
          </cell>
          <cell r="F72">
            <v>38513.858</v>
          </cell>
          <cell r="G72">
            <v>30218.941999999999</v>
          </cell>
          <cell r="H72">
            <v>38916.843999999997</v>
          </cell>
          <cell r="I72">
            <v>26.508999999999997</v>
          </cell>
          <cell r="J72">
            <v>24.406000000000002</v>
          </cell>
          <cell r="K72">
            <v>26.747999999999998</v>
          </cell>
          <cell r="L72">
            <v>24.818000000000001</v>
          </cell>
          <cell r="M72">
            <v>-76.912000000000006</v>
          </cell>
          <cell r="N72">
            <v>-150.33500000000001</v>
          </cell>
          <cell r="O72">
            <v>-0.23899999999999999</v>
          </cell>
          <cell r="P72">
            <v>-0.41199999999999998</v>
          </cell>
          <cell r="Q72">
            <v>-0.54784275163623797</v>
          </cell>
          <cell r="R72">
            <v>-1.0015470732787228</v>
          </cell>
          <cell r="S72">
            <v>170190.413</v>
          </cell>
          <cell r="T72">
            <v>170828.73200000002</v>
          </cell>
        </row>
        <row r="73">
          <cell r="A73" t="str">
            <v>Faeroe Islands</v>
          </cell>
          <cell r="B73">
            <v>234</v>
          </cell>
          <cell r="C73">
            <v>3420.0720000000001</v>
          </cell>
          <cell r="D73">
            <v>3907.0739999999996</v>
          </cell>
          <cell r="E73">
            <v>22.701000000000001</v>
          </cell>
          <cell r="F73">
            <v>24.295999999999999</v>
          </cell>
          <cell r="G73">
            <v>21.347999999999999</v>
          </cell>
          <cell r="H73">
            <v>22.721</v>
          </cell>
          <cell r="I73">
            <v>6.81</v>
          </cell>
          <cell r="J73">
            <v>6.23</v>
          </cell>
          <cell r="K73">
            <v>6.5960000000000001</v>
          </cell>
          <cell r="L73">
            <v>6.23</v>
          </cell>
          <cell r="M73">
            <v>4.8000000000000001E-2</v>
          </cell>
          <cell r="N73">
            <v>0</v>
          </cell>
          <cell r="O73">
            <v>0.214</v>
          </cell>
          <cell r="P73">
            <v>0</v>
          </cell>
          <cell r="Q73">
            <v>1.431980906921241</v>
          </cell>
          <cell r="R73">
            <v>0</v>
          </cell>
          <cell r="S73">
            <v>55.325999999999993</v>
          </cell>
          <cell r="T73">
            <v>55.325999999999993</v>
          </cell>
        </row>
        <row r="74">
          <cell r="A74" t="str">
            <v>Falkland Islands (Malvinas)</v>
          </cell>
          <cell r="B74">
            <v>238</v>
          </cell>
          <cell r="C74">
            <v>1615.528</v>
          </cell>
          <cell r="D74">
            <v>1764.9259999999999</v>
          </cell>
          <cell r="E74">
            <v>1.202</v>
          </cell>
          <cell r="F74">
            <v>1.4930000000000001</v>
          </cell>
          <cell r="G74">
            <v>1.25</v>
          </cell>
          <cell r="H74">
            <v>1.5669999999999999</v>
          </cell>
          <cell r="I74">
            <v>38.948</v>
          </cell>
          <cell r="J74">
            <v>5.23</v>
          </cell>
          <cell r="K74">
            <v>9.3509999999999991</v>
          </cell>
          <cell r="L74">
            <v>7.3490000000000002</v>
          </cell>
          <cell r="M74">
            <v>0.40200000000000002</v>
          </cell>
          <cell r="N74">
            <v>-3.2000000000000001E-2</v>
          </cell>
          <cell r="O74">
            <v>29.597000000000001</v>
          </cell>
          <cell r="P74">
            <v>-2.1190000000000002</v>
          </cell>
          <cell r="Q74">
            <v>187.85046728971963</v>
          </cell>
          <cell r="R74">
            <v>-14.746543778801843</v>
          </cell>
          <cell r="S74">
            <v>3.4689999999999999</v>
          </cell>
          <cell r="T74">
            <v>3.4689999999999999</v>
          </cell>
        </row>
        <row r="75">
          <cell r="A75" t="str">
            <v>Fiji</v>
          </cell>
          <cell r="B75">
            <v>242</v>
          </cell>
          <cell r="C75">
            <v>161375.96100000001</v>
          </cell>
          <cell r="D75">
            <v>186404.913</v>
          </cell>
          <cell r="E75">
            <v>390.214</v>
          </cell>
          <cell r="F75">
            <v>430.79500000000002</v>
          </cell>
          <cell r="G75">
            <v>377.72199999999998</v>
          </cell>
          <cell r="H75">
            <v>416.911</v>
          </cell>
          <cell r="I75">
            <v>10.843999999999999</v>
          </cell>
          <cell r="J75">
            <v>8.916999999999998</v>
          </cell>
          <cell r="K75">
            <v>19.661999999999999</v>
          </cell>
          <cell r="L75">
            <v>17.309999999999999</v>
          </cell>
          <cell r="M75">
            <v>-34.799999999999997</v>
          </cell>
          <cell r="N75">
            <v>-34.799999999999997</v>
          </cell>
          <cell r="O75">
            <v>-8.8179999999999996</v>
          </cell>
          <cell r="P75">
            <v>-8.3930000000000007</v>
          </cell>
          <cell r="Q75">
            <v>-34.112964887172346</v>
          </cell>
          <cell r="R75">
            <v>-35.629088898672094</v>
          </cell>
          <cell r="S75">
            <v>934.41100000000006</v>
          </cell>
          <cell r="T75">
            <v>1294.2049999999999</v>
          </cell>
        </row>
        <row r="76">
          <cell r="A76" t="str">
            <v>Finland</v>
          </cell>
          <cell r="B76">
            <v>246</v>
          </cell>
          <cell r="C76">
            <v>18.457999999999998</v>
          </cell>
          <cell r="D76">
            <v>22.015999999999998</v>
          </cell>
          <cell r="E76">
            <v>2486.6819999999998</v>
          </cell>
          <cell r="F76">
            <v>2569.9560000000001</v>
          </cell>
          <cell r="G76">
            <v>2621.12</v>
          </cell>
          <cell r="H76">
            <v>2679.1039999999998</v>
          </cell>
          <cell r="I76">
            <v>2.673</v>
          </cell>
          <cell r="J76">
            <v>2.7829999999999995</v>
          </cell>
          <cell r="K76">
            <v>1.88</v>
          </cell>
          <cell r="L76">
            <v>1.2029999999999994</v>
          </cell>
          <cell r="M76">
            <v>20.381</v>
          </cell>
          <cell r="N76">
            <v>41.180999999999997</v>
          </cell>
          <cell r="O76">
            <v>0.79300000000000004</v>
          </cell>
          <cell r="P76">
            <v>1.58</v>
          </cell>
          <cell r="Q76">
            <v>6.8969601396921227</v>
          </cell>
          <cell r="R76">
            <v>14.718381088876416</v>
          </cell>
          <cell r="S76">
            <v>5329.0490000000009</v>
          </cell>
          <cell r="T76">
            <v>4939.3050000000003</v>
          </cell>
        </row>
        <row r="77">
          <cell r="A77" t="str">
            <v>France</v>
          </cell>
          <cell r="B77">
            <v>250</v>
          </cell>
          <cell r="C77">
            <v>8296.6530000000002</v>
          </cell>
          <cell r="D77">
            <v>7725.9650000000001</v>
          </cell>
          <cell r="E77">
            <v>28300.008000000002</v>
          </cell>
          <cell r="F77">
            <v>29462.919000000002</v>
          </cell>
          <cell r="G77">
            <v>29902.648000000001</v>
          </cell>
          <cell r="H77">
            <v>31032.617999999999</v>
          </cell>
          <cell r="I77">
            <v>3.6620000000000004</v>
          </cell>
          <cell r="J77">
            <v>4.0659999999999998</v>
          </cell>
          <cell r="K77">
            <v>2.9160000000000004</v>
          </cell>
          <cell r="L77">
            <v>3.0640000000000001</v>
          </cell>
          <cell r="M77">
            <v>219</v>
          </cell>
          <cell r="N77">
            <v>300</v>
          </cell>
          <cell r="O77">
            <v>0.746</v>
          </cell>
          <cell r="P77">
            <v>1.002</v>
          </cell>
          <cell r="Q77">
            <v>5.9858864277815105</v>
          </cell>
          <cell r="R77">
            <v>8.0298539262506097</v>
          </cell>
          <cell r="S77">
            <v>63115.987999999998</v>
          </cell>
          <cell r="T77">
            <v>60468.133000000002</v>
          </cell>
        </row>
        <row r="78">
          <cell r="A78" t="str">
            <v>French Guiana</v>
          </cell>
          <cell r="B78">
            <v>254</v>
          </cell>
          <cell r="C78">
            <v>9831.857</v>
          </cell>
          <cell r="D78">
            <v>13227.834999999999</v>
          </cell>
          <cell r="E78">
            <v>71.784000000000006</v>
          </cell>
          <cell r="F78">
            <v>96.08</v>
          </cell>
          <cell r="G78">
            <v>66.760999999999996</v>
          </cell>
          <cell r="H78">
            <v>90.975999999999999</v>
          </cell>
          <cell r="I78">
            <v>34.03</v>
          </cell>
          <cell r="J78">
            <v>25.895</v>
          </cell>
          <cell r="K78">
            <v>25.312999999999999</v>
          </cell>
          <cell r="L78">
            <v>21.341000000000001</v>
          </cell>
          <cell r="M78">
            <v>6.6</v>
          </cell>
          <cell r="N78">
            <v>4</v>
          </cell>
          <cell r="O78">
            <v>8.7170000000000005</v>
          </cell>
          <cell r="P78">
            <v>4.5540000000000003</v>
          </cell>
          <cell r="Q78">
            <v>29.868307915101592</v>
          </cell>
          <cell r="R78">
            <v>18.195878633489514</v>
          </cell>
          <cell r="S78">
            <v>358.702</v>
          </cell>
          <cell r="T78">
            <v>308.40699999999998</v>
          </cell>
        </row>
        <row r="79">
          <cell r="A79" t="str">
            <v>French Polynesia</v>
          </cell>
          <cell r="B79">
            <v>258</v>
          </cell>
          <cell r="C79">
            <v>6159.06</v>
          </cell>
          <cell r="D79">
            <v>7547.5150000000003</v>
          </cell>
          <cell r="E79">
            <v>112.108</v>
          </cell>
          <cell r="F79">
            <v>131.27199999999999</v>
          </cell>
          <cell r="G79">
            <v>103.688</v>
          </cell>
          <cell r="H79">
            <v>125.331</v>
          </cell>
          <cell r="I79">
            <v>17.991999999999997</v>
          </cell>
          <cell r="J79">
            <v>16.624000000000002</v>
          </cell>
          <cell r="K79">
            <v>16.576999999999998</v>
          </cell>
          <cell r="L79">
            <v>14.491000000000001</v>
          </cell>
          <cell r="M79">
            <v>1.599</v>
          </cell>
          <cell r="N79">
            <v>2.6280000000000001</v>
          </cell>
          <cell r="O79">
            <v>1.415</v>
          </cell>
          <cell r="P79">
            <v>2.133</v>
          </cell>
          <cell r="Q79">
            <v>6.6252330640149157</v>
          </cell>
          <cell r="R79">
            <v>11.045265414197454</v>
          </cell>
          <cell r="S79">
            <v>359.92700000000002</v>
          </cell>
          <cell r="T79">
            <v>359.92700000000002</v>
          </cell>
        </row>
        <row r="80">
          <cell r="A80" t="str">
            <v>Gabon</v>
          </cell>
          <cell r="B80">
            <v>266</v>
          </cell>
          <cell r="C80">
            <v>13302.275000000001</v>
          </cell>
          <cell r="D80">
            <v>16321.862999999999</v>
          </cell>
          <cell r="E80">
            <v>554.82799999999997</v>
          </cell>
          <cell r="F80">
            <v>689.18200000000002</v>
          </cell>
          <cell r="G80">
            <v>563.90800000000002</v>
          </cell>
          <cell r="H80">
            <v>694.65899999999999</v>
          </cell>
          <cell r="I80">
            <v>25.658000000000001</v>
          </cell>
          <cell r="J80">
            <v>16.829999999999998</v>
          </cell>
          <cell r="K80">
            <v>23.254000000000001</v>
          </cell>
          <cell r="L80">
            <v>19.088999999999999</v>
          </cell>
          <cell r="M80">
            <v>14.37</v>
          </cell>
          <cell r="N80">
            <v>-15</v>
          </cell>
          <cell r="O80">
            <v>2.4039999999999999</v>
          </cell>
          <cell r="P80">
            <v>-2.2589999999999999</v>
          </cell>
          <cell r="Q80">
            <v>7.0097219037955902</v>
          </cell>
          <cell r="R80">
            <v>-7.1522572523888535</v>
          </cell>
          <cell r="S80">
            <v>2278.7870000000003</v>
          </cell>
          <cell r="T80">
            <v>2278.7870000000003</v>
          </cell>
        </row>
        <row r="81">
          <cell r="A81" t="str">
            <v>Gambia</v>
          </cell>
          <cell r="B81">
            <v>270</v>
          </cell>
          <cell r="C81">
            <v>29302.091</v>
          </cell>
          <cell r="D81">
            <v>32268.243000000002</v>
          </cell>
          <cell r="E81">
            <v>551.35400000000004</v>
          </cell>
          <cell r="F81">
            <v>752.173</v>
          </cell>
          <cell r="G81">
            <v>563.86199999999997</v>
          </cell>
          <cell r="H81">
            <v>764.90599999999995</v>
          </cell>
          <cell r="I81">
            <v>33.016999999999996</v>
          </cell>
          <cell r="J81">
            <v>28.407</v>
          </cell>
          <cell r="K81">
            <v>25.613</v>
          </cell>
          <cell r="L81">
            <v>24.012</v>
          </cell>
          <cell r="M81">
            <v>45</v>
          </cell>
          <cell r="N81">
            <v>31.126999999999999</v>
          </cell>
          <cell r="O81">
            <v>7.4039999999999999</v>
          </cell>
          <cell r="P81">
            <v>4.3949999999999996</v>
          </cell>
          <cell r="Q81">
            <v>19.10389974273415</v>
          </cell>
          <cell r="R81">
            <v>12.197673871812155</v>
          </cell>
          <cell r="S81">
            <v>3106.1530000000002</v>
          </cell>
          <cell r="T81">
            <v>3040.0860000000002</v>
          </cell>
        </row>
        <row r="82">
          <cell r="A82" t="str">
            <v>Georgia</v>
          </cell>
          <cell r="B82">
            <v>268</v>
          </cell>
          <cell r="C82">
            <v>401.11</v>
          </cell>
          <cell r="D82">
            <v>506.80700000000002</v>
          </cell>
          <cell r="E82">
            <v>2390.98</v>
          </cell>
          <cell r="F82">
            <v>2114.194</v>
          </cell>
          <cell r="G82">
            <v>2641.585</v>
          </cell>
          <cell r="H82">
            <v>2360.21</v>
          </cell>
          <cell r="I82">
            <v>-12.817</v>
          </cell>
          <cell r="J82">
            <v>-10.686999999999999</v>
          </cell>
          <cell r="K82">
            <v>1.5380000000000003</v>
          </cell>
          <cell r="L82">
            <v>0.10200000000000031</v>
          </cell>
          <cell r="M82">
            <v>-349.99799999999999</v>
          </cell>
          <cell r="N82">
            <v>-247.999</v>
          </cell>
          <cell r="O82">
            <v>-14.355</v>
          </cell>
          <cell r="P82">
            <v>-10.789</v>
          </cell>
          <cell r="Q82">
            <v>-122.11859527921702</v>
          </cell>
          <cell r="R82">
            <v>-96.561914737042926</v>
          </cell>
          <cell r="S82">
            <v>2984.5819999999999</v>
          </cell>
          <cell r="T82">
            <v>3886.509</v>
          </cell>
        </row>
        <row r="83">
          <cell r="A83" t="str">
            <v>Germany</v>
          </cell>
          <cell r="B83">
            <v>276</v>
          </cell>
          <cell r="C83">
            <v>32.866</v>
          </cell>
          <cell r="D83">
            <v>45.016999999999996</v>
          </cell>
          <cell r="E83">
            <v>39730.955000000002</v>
          </cell>
          <cell r="F83">
            <v>40388.053999999996</v>
          </cell>
          <cell r="G83">
            <v>41930.01</v>
          </cell>
          <cell r="H83">
            <v>42301.156000000003</v>
          </cell>
          <cell r="I83">
            <v>1.6669999999999998</v>
          </cell>
          <cell r="J83">
            <v>0.83599999999999985</v>
          </cell>
          <cell r="K83">
            <v>-1.0990000000000002</v>
          </cell>
          <cell r="L83">
            <v>-1.83</v>
          </cell>
          <cell r="M83">
            <v>1134.1179999999999</v>
          </cell>
          <cell r="N83">
            <v>1100</v>
          </cell>
          <cell r="O83">
            <v>2.766</v>
          </cell>
          <cell r="P83">
            <v>2.6659999999999999</v>
          </cell>
          <cell r="Q83">
            <v>29.138966332065891</v>
          </cell>
          <cell r="R83">
            <v>31.322156638688387</v>
          </cell>
          <cell r="S83">
            <v>78764.510999999999</v>
          </cell>
          <cell r="T83">
            <v>65588.994000000006</v>
          </cell>
        </row>
        <row r="84">
          <cell r="A84" t="str">
            <v>Ghana</v>
          </cell>
          <cell r="B84">
            <v>288</v>
          </cell>
          <cell r="C84">
            <v>3414.404</v>
          </cell>
          <cell r="D84">
            <v>4037.7469999999998</v>
          </cell>
          <cell r="E84">
            <v>8944.0550000000003</v>
          </cell>
          <cell r="F84">
            <v>11191.44</v>
          </cell>
          <cell r="G84">
            <v>8781.15</v>
          </cell>
          <cell r="H84">
            <v>10921.365</v>
          </cell>
          <cell r="I84">
            <v>22.789000000000001</v>
          </cell>
          <cell r="J84">
            <v>21.399000000000004</v>
          </cell>
          <cell r="K84">
            <v>23.335000000000001</v>
          </cell>
          <cell r="L84">
            <v>21.288000000000004</v>
          </cell>
          <cell r="M84">
            <v>-51.314</v>
          </cell>
          <cell r="N84">
            <v>11.69</v>
          </cell>
          <cell r="O84">
            <v>-0.54600000000000004</v>
          </cell>
          <cell r="P84">
            <v>0.111</v>
          </cell>
          <cell r="Q84">
            <v>-1.6043245541632274</v>
          </cell>
          <cell r="R84">
            <v>0.34717148786592583</v>
          </cell>
          <cell r="S84">
            <v>40572.701999999997</v>
          </cell>
          <cell r="T84">
            <v>40874.172000000006</v>
          </cell>
        </row>
        <row r="85">
          <cell r="A85" t="str">
            <v>Gibraltar</v>
          </cell>
          <cell r="B85">
            <v>292</v>
          </cell>
          <cell r="C85">
            <v>7033.6310000000003</v>
          </cell>
          <cell r="D85">
            <v>9748.9310000000005</v>
          </cell>
          <cell r="E85">
            <v>13.728999999999999</v>
          </cell>
          <cell r="F85">
            <v>13.946</v>
          </cell>
          <cell r="G85">
            <v>13.577</v>
          </cell>
          <cell r="H85">
            <v>13.975</v>
          </cell>
          <cell r="I85">
            <v>2.6839999999999997</v>
          </cell>
          <cell r="J85">
            <v>1.77</v>
          </cell>
          <cell r="K85">
            <v>2.6479999999999997</v>
          </cell>
          <cell r="L85">
            <v>1.77</v>
          </cell>
          <cell r="M85">
            <v>5.0000000000000001E-3</v>
          </cell>
          <cell r="N85">
            <v>0</v>
          </cell>
          <cell r="O85">
            <v>3.5999999999999997E-2</v>
          </cell>
          <cell r="P85">
            <v>0</v>
          </cell>
          <cell r="Q85">
            <v>0.30712530712530717</v>
          </cell>
          <cell r="R85">
            <v>0</v>
          </cell>
          <cell r="S85">
            <v>26.227</v>
          </cell>
          <cell r="T85">
            <v>26.227</v>
          </cell>
        </row>
        <row r="86">
          <cell r="A86" t="str">
            <v>Greece</v>
          </cell>
          <cell r="B86">
            <v>300</v>
          </cell>
          <cell r="C86">
            <v>143.99600000000001</v>
          </cell>
          <cell r="D86">
            <v>149.46300000000002</v>
          </cell>
          <cell r="E86">
            <v>5264.308</v>
          </cell>
          <cell r="F86">
            <v>5494.1819999999998</v>
          </cell>
          <cell r="G86">
            <v>5393.1109999999999</v>
          </cell>
          <cell r="H86">
            <v>5625.7089999999998</v>
          </cell>
          <cell r="I86">
            <v>5.8730000000000002</v>
          </cell>
          <cell r="J86">
            <v>2.624000000000001</v>
          </cell>
          <cell r="K86">
            <v>0.32</v>
          </cell>
          <cell r="L86">
            <v>-0.6169999999999991</v>
          </cell>
          <cell r="M86">
            <v>300.30399999999997</v>
          </cell>
          <cell r="N86">
            <v>179</v>
          </cell>
          <cell r="O86">
            <v>5.5529999999999999</v>
          </cell>
          <cell r="P86">
            <v>3.2410000000000001</v>
          </cell>
          <cell r="Q86">
            <v>57.475659774655533</v>
          </cell>
          <cell r="R86">
            <v>34.917767681752835</v>
          </cell>
          <cell r="S86">
            <v>10741.528</v>
          </cell>
          <cell r="T86">
            <v>8738.0659999999989</v>
          </cell>
        </row>
        <row r="87">
          <cell r="A87" t="str">
            <v>Greenland</v>
          </cell>
          <cell r="B87">
            <v>304</v>
          </cell>
          <cell r="C87">
            <v>14394.935000000001</v>
          </cell>
          <cell r="D87">
            <v>16295.102000000001</v>
          </cell>
          <cell r="E87">
            <v>29.972000000000001</v>
          </cell>
          <cell r="F87">
            <v>30.224</v>
          </cell>
          <cell r="G87">
            <v>25.795000000000002</v>
          </cell>
          <cell r="H87">
            <v>26.695</v>
          </cell>
          <cell r="I87">
            <v>1.5209999999999981</v>
          </cell>
          <cell r="J87">
            <v>2.5670000000000002</v>
          </cell>
          <cell r="K87">
            <v>9.291999999999998</v>
          </cell>
          <cell r="L87">
            <v>5.75</v>
          </cell>
          <cell r="M87">
            <v>-2.1749999999999998</v>
          </cell>
          <cell r="N87">
            <v>-0.9</v>
          </cell>
          <cell r="O87">
            <v>-7.7709999999999999</v>
          </cell>
          <cell r="P87">
            <v>-3.1829999999999998</v>
          </cell>
          <cell r="Q87">
            <v>-45.293627655143695</v>
          </cell>
          <cell r="R87">
            <v>-23.09468822170901</v>
          </cell>
          <cell r="S87">
            <v>59.21</v>
          </cell>
          <cell r="T87">
            <v>61.526000000000003</v>
          </cell>
        </row>
        <row r="88">
          <cell r="A88" t="str">
            <v>Grenada</v>
          </cell>
          <cell r="B88">
            <v>308</v>
          </cell>
          <cell r="C88">
            <v>38541.623999999996</v>
          </cell>
          <cell r="D88">
            <v>45600.243999999999</v>
          </cell>
          <cell r="E88">
            <v>48.911000000000001</v>
          </cell>
          <cell r="F88">
            <v>51.192999999999998</v>
          </cell>
          <cell r="G88">
            <v>50.524999999999999</v>
          </cell>
          <cell r="H88">
            <v>51.731000000000002</v>
          </cell>
          <cell r="I88">
            <v>4.2839999999999989</v>
          </cell>
          <cell r="J88">
            <v>2.6109999999999989</v>
          </cell>
          <cell r="K88">
            <v>16.222999999999999</v>
          </cell>
          <cell r="L88">
            <v>14.345999999999998</v>
          </cell>
          <cell r="M88">
            <v>-6</v>
          </cell>
          <cell r="N88">
            <v>-6</v>
          </cell>
          <cell r="O88">
            <v>-11.939</v>
          </cell>
          <cell r="P88">
            <v>-11.734999999999999</v>
          </cell>
          <cell r="Q88">
            <v>-49.86702127659575</v>
          </cell>
          <cell r="R88">
            <v>-54.510765876260557</v>
          </cell>
          <cell r="S88">
            <v>157.24799999999999</v>
          </cell>
          <cell r="T88">
            <v>157.24799999999999</v>
          </cell>
        </row>
        <row r="89">
          <cell r="A89" t="str">
            <v>Guadeloupe</v>
          </cell>
          <cell r="B89">
            <v>312</v>
          </cell>
          <cell r="C89">
            <v>607.11699999999996</v>
          </cell>
          <cell r="D89">
            <v>797.90200000000004</v>
          </cell>
          <cell r="E89">
            <v>199.107</v>
          </cell>
          <cell r="F89">
            <v>216.375</v>
          </cell>
          <cell r="G89">
            <v>210.37799999999999</v>
          </cell>
          <cell r="H89">
            <v>232.10900000000001</v>
          </cell>
          <cell r="I89">
            <v>9.6190000000000033</v>
          </cell>
          <cell r="J89">
            <v>8.5730000000000022</v>
          </cell>
          <cell r="K89">
            <v>12.002000000000002</v>
          </cell>
          <cell r="L89">
            <v>10.167000000000002</v>
          </cell>
          <cell r="M89">
            <v>-5</v>
          </cell>
          <cell r="N89">
            <v>-3.5</v>
          </cell>
          <cell r="O89">
            <v>-2.383</v>
          </cell>
          <cell r="P89">
            <v>-1.5940000000000001</v>
          </cell>
          <cell r="Q89">
            <v>-13.212134023887536</v>
          </cell>
          <cell r="R89">
            <v>-9.7861037326995657</v>
          </cell>
          <cell r="S89">
            <v>474.13800000000003</v>
          </cell>
          <cell r="T89">
            <v>528.43399999999997</v>
          </cell>
        </row>
        <row r="90">
          <cell r="A90" t="str">
            <v>Guam</v>
          </cell>
          <cell r="B90">
            <v>316</v>
          </cell>
          <cell r="C90">
            <v>2915.5940000000001</v>
          </cell>
          <cell r="D90">
            <v>3998.904</v>
          </cell>
          <cell r="E90">
            <v>75.846000000000004</v>
          </cell>
          <cell r="F90">
            <v>86.387</v>
          </cell>
          <cell r="G90">
            <v>69.727000000000004</v>
          </cell>
          <cell r="H90">
            <v>83.248000000000005</v>
          </cell>
          <cell r="I90">
            <v>13.039</v>
          </cell>
          <cell r="J90">
            <v>17.54</v>
          </cell>
          <cell r="K90">
            <v>20.936</v>
          </cell>
          <cell r="L90">
            <v>17.54</v>
          </cell>
          <cell r="M90">
            <v>-5.9420000000000002</v>
          </cell>
          <cell r="N90">
            <v>0</v>
          </cell>
          <cell r="O90">
            <v>-7.8970000000000002</v>
          </cell>
          <cell r="P90">
            <v>0</v>
          </cell>
          <cell r="Q90">
            <v>-30.88678656825034</v>
          </cell>
          <cell r="R90">
            <v>0</v>
          </cell>
          <cell r="S90">
            <v>253.536</v>
          </cell>
          <cell r="T90">
            <v>253.536</v>
          </cell>
        </row>
        <row r="91">
          <cell r="A91" t="str">
            <v>Guatemala</v>
          </cell>
          <cell r="B91">
            <v>320</v>
          </cell>
          <cell r="C91">
            <v>19.954999999999998</v>
          </cell>
          <cell r="D91">
            <v>17.954000000000001</v>
          </cell>
          <cell r="E91">
            <v>4953.8149999999996</v>
          </cell>
          <cell r="F91">
            <v>6138.75</v>
          </cell>
          <cell r="G91">
            <v>5016.5519999999997</v>
          </cell>
          <cell r="H91">
            <v>6460.3090000000002</v>
          </cell>
          <cell r="I91">
            <v>22.634</v>
          </cell>
          <cell r="J91">
            <v>24.114000000000001</v>
          </cell>
          <cell r="K91">
            <v>30.015000000000001</v>
          </cell>
          <cell r="L91">
            <v>29.163</v>
          </cell>
          <cell r="M91">
            <v>-390</v>
          </cell>
          <cell r="N91">
            <v>-300</v>
          </cell>
          <cell r="O91">
            <v>-7.3810000000000002</v>
          </cell>
          <cell r="P91">
            <v>-5.0490000000000004</v>
          </cell>
          <cell r="Q91">
            <v>-19.754217018815133</v>
          </cell>
          <cell r="R91">
            <v>-14.101243165597477</v>
          </cell>
          <cell r="S91">
            <v>25612.004000000001</v>
          </cell>
          <cell r="T91">
            <v>28183.642</v>
          </cell>
        </row>
        <row r="92">
          <cell r="A92" t="str">
            <v>Guinea</v>
          </cell>
          <cell r="B92">
            <v>324</v>
          </cell>
          <cell r="C92">
            <v>3474.8969999999999</v>
          </cell>
          <cell r="D92">
            <v>4327.2280000000001</v>
          </cell>
          <cell r="E92">
            <v>3846.3220000000001</v>
          </cell>
          <cell r="F92">
            <v>4818.4949999999999</v>
          </cell>
          <cell r="G92">
            <v>3678.4929999999999</v>
          </cell>
          <cell r="H92">
            <v>4583.6030000000001</v>
          </cell>
          <cell r="I92">
            <v>22.786999999999995</v>
          </cell>
          <cell r="J92">
            <v>21.712</v>
          </cell>
          <cell r="K92">
            <v>28.476999999999997</v>
          </cell>
          <cell r="L92">
            <v>28.422000000000001</v>
          </cell>
          <cell r="M92">
            <v>-227</v>
          </cell>
          <cell r="N92">
            <v>-299.21899999999999</v>
          </cell>
          <cell r="O92">
            <v>-5.69</v>
          </cell>
          <cell r="P92">
            <v>-6.71</v>
          </cell>
          <cell r="Q92">
            <v>-13.019257604078069</v>
          </cell>
          <cell r="R92">
            <v>-15.901035095905</v>
          </cell>
          <cell r="S92">
            <v>22986.849000000002</v>
          </cell>
          <cell r="T92">
            <v>23717.040000000001</v>
          </cell>
        </row>
        <row r="93">
          <cell r="A93" t="str">
            <v>Guinea-Bissau</v>
          </cell>
          <cell r="B93">
            <v>624</v>
          </cell>
          <cell r="C93">
            <v>14755.305</v>
          </cell>
          <cell r="D93">
            <v>18153.866999999998</v>
          </cell>
          <cell r="E93">
            <v>586.07399999999996</v>
          </cell>
          <cell r="F93">
            <v>783.60900000000004</v>
          </cell>
          <cell r="G93">
            <v>603.25699999999995</v>
          </cell>
          <cell r="H93">
            <v>802.73500000000001</v>
          </cell>
          <cell r="I93">
            <v>27.603000000000002</v>
          </cell>
          <cell r="J93">
            <v>29.905000000000001</v>
          </cell>
          <cell r="K93">
            <v>29.279</v>
          </cell>
          <cell r="L93">
            <v>29.745000000000001</v>
          </cell>
          <cell r="M93">
            <v>-10.702999999999999</v>
          </cell>
          <cell r="N93">
            <v>1.181</v>
          </cell>
          <cell r="O93">
            <v>-1.6759999999999999</v>
          </cell>
          <cell r="P93">
            <v>0.16</v>
          </cell>
          <cell r="Q93">
            <v>-3.3473653923138511</v>
          </cell>
          <cell r="R93">
            <v>0.32165112428098308</v>
          </cell>
          <cell r="S93">
            <v>5311.9610000000002</v>
          </cell>
          <cell r="T93">
            <v>5420.4189999999999</v>
          </cell>
        </row>
        <row r="94">
          <cell r="A94" t="str">
            <v>Guyana</v>
          </cell>
          <cell r="B94">
            <v>328</v>
          </cell>
          <cell r="C94">
            <v>4669.0020000000004</v>
          </cell>
          <cell r="D94">
            <v>4551.3379999999997</v>
          </cell>
          <cell r="E94">
            <v>355.49</v>
          </cell>
          <cell r="F94">
            <v>364.39800000000002</v>
          </cell>
          <cell r="G94">
            <v>376.83100000000002</v>
          </cell>
          <cell r="H94">
            <v>386.82</v>
          </cell>
          <cell r="I94">
            <v>3.0790000000000024</v>
          </cell>
          <cell r="J94">
            <v>2.0170000000000012</v>
          </cell>
          <cell r="K94">
            <v>13.919000000000002</v>
          </cell>
          <cell r="L94">
            <v>12.72</v>
          </cell>
          <cell r="M94">
            <v>-40</v>
          </cell>
          <cell r="N94">
            <v>-40</v>
          </cell>
          <cell r="O94">
            <v>-10.84</v>
          </cell>
          <cell r="P94">
            <v>-10.702999999999999</v>
          </cell>
          <cell r="Q94">
            <v>-45.50573941138326</v>
          </cell>
          <cell r="R94">
            <v>-48.965002264631352</v>
          </cell>
          <cell r="S94">
            <v>488.42200000000003</v>
          </cell>
          <cell r="T94">
            <v>961.88499999999999</v>
          </cell>
        </row>
        <row r="95">
          <cell r="A95" t="str">
            <v>Haiti</v>
          </cell>
          <cell r="B95">
            <v>332</v>
          </cell>
          <cell r="C95">
            <v>10866.780999999999</v>
          </cell>
          <cell r="D95">
            <v>11269.4</v>
          </cell>
          <cell r="E95">
            <v>3624.7260000000001</v>
          </cell>
          <cell r="F95">
            <v>4201.9930000000004</v>
          </cell>
          <cell r="G95">
            <v>3766.5390000000002</v>
          </cell>
          <cell r="H95">
            <v>4325.7839999999997</v>
          </cell>
          <cell r="I95">
            <v>14.285999999999996</v>
          </cell>
          <cell r="J95">
            <v>14.307</v>
          </cell>
          <cell r="K95">
            <v>17.025999999999996</v>
          </cell>
          <cell r="L95">
            <v>16.858000000000001</v>
          </cell>
          <cell r="M95">
            <v>-105</v>
          </cell>
          <cell r="N95">
            <v>-105</v>
          </cell>
          <cell r="O95">
            <v>-2.74</v>
          </cell>
          <cell r="P95">
            <v>-2.5510000000000002</v>
          </cell>
          <cell r="Q95">
            <v>-8.6625586888351158</v>
          </cell>
          <cell r="R95">
            <v>-8.3770535748477766</v>
          </cell>
          <cell r="S95">
            <v>12996.031999999999</v>
          </cell>
          <cell r="T95">
            <v>14266.468000000001</v>
          </cell>
        </row>
        <row r="96">
          <cell r="A96" t="str">
            <v>Holy See</v>
          </cell>
          <cell r="B96">
            <v>336</v>
          </cell>
          <cell r="C96">
            <v>10330.758999999998</v>
          </cell>
          <cell r="D96">
            <v>10219.602999999999</v>
          </cell>
          <cell r="E96">
            <v>0.378</v>
          </cell>
          <cell r="F96">
            <v>0.375</v>
          </cell>
          <cell r="G96">
            <v>0.40300000000000002</v>
          </cell>
          <cell r="H96">
            <v>0.40799999999999997</v>
          </cell>
          <cell r="I96">
            <v>1.53</v>
          </cell>
          <cell r="J96">
            <v>-1.0189999999999984</v>
          </cell>
          <cell r="K96">
            <v>-9.4390000000000001</v>
          </cell>
          <cell r="L96">
            <v>-12.483999999999998</v>
          </cell>
          <cell r="M96">
            <v>4.2999999999999997E-2</v>
          </cell>
          <cell r="N96">
            <v>4.4999999999999998E-2</v>
          </cell>
          <cell r="O96">
            <v>10.968999999999999</v>
          </cell>
          <cell r="P96">
            <v>11.465</v>
          </cell>
          <cell r="Q96">
            <v>226.31578947368419</v>
          </cell>
          <cell r="R96">
            <v>236.84210526315786</v>
          </cell>
          <cell r="S96">
            <v>0.76600000000000001</v>
          </cell>
          <cell r="T96">
            <v>0.32500000000000001</v>
          </cell>
        </row>
        <row r="97">
          <cell r="A97" t="str">
            <v>Honduras</v>
          </cell>
          <cell r="B97">
            <v>340</v>
          </cell>
          <cell r="C97">
            <v>44998.561000000002</v>
          </cell>
          <cell r="D97">
            <v>57548.744000000006</v>
          </cell>
          <cell r="E97">
            <v>2833.0349999999999</v>
          </cell>
          <cell r="F97">
            <v>3631.3139999999999</v>
          </cell>
          <cell r="G97">
            <v>2791.9189999999999</v>
          </cell>
          <cell r="H97">
            <v>3573.4090000000001</v>
          </cell>
          <cell r="I97">
            <v>26.536999999999999</v>
          </cell>
          <cell r="J97">
            <v>22.904000000000003</v>
          </cell>
          <cell r="K97">
            <v>27.201000000000001</v>
          </cell>
          <cell r="L97">
            <v>23.784000000000002</v>
          </cell>
          <cell r="M97">
            <v>-20</v>
          </cell>
          <cell r="N97">
            <v>-30</v>
          </cell>
          <cell r="O97">
            <v>-0.66400000000000003</v>
          </cell>
          <cell r="P97">
            <v>-0.88</v>
          </cell>
          <cell r="Q97">
            <v>-1.9850052701889924</v>
          </cell>
          <cell r="R97">
            <v>-2.9405307069819959</v>
          </cell>
          <cell r="S97">
            <v>12775.974</v>
          </cell>
          <cell r="T97">
            <v>13172.945</v>
          </cell>
        </row>
        <row r="98">
          <cell r="A98" t="str">
            <v>Hungary</v>
          </cell>
          <cell r="B98">
            <v>348</v>
          </cell>
          <cell r="C98">
            <v>5227.8609999999999</v>
          </cell>
          <cell r="D98">
            <v>5430.59</v>
          </cell>
          <cell r="E98">
            <v>4941.6450000000004</v>
          </cell>
          <cell r="F98">
            <v>4807.78</v>
          </cell>
          <cell r="G98">
            <v>5387.3230000000003</v>
          </cell>
          <cell r="H98">
            <v>5289.951</v>
          </cell>
          <cell r="I98">
            <v>-2.0090000000000003</v>
          </cell>
          <cell r="J98">
            <v>-2.52</v>
          </cell>
          <cell r="K98">
            <v>-3.9550000000000001</v>
          </cell>
          <cell r="L98">
            <v>-3.5039999999999996</v>
          </cell>
          <cell r="M98">
            <v>100</v>
          </cell>
          <cell r="N98">
            <v>50</v>
          </cell>
          <cell r="O98">
            <v>1.946</v>
          </cell>
          <cell r="P98">
            <v>0.98399999999999999</v>
          </cell>
          <cell r="Q98">
            <v>19.726239251665387</v>
          </cell>
          <cell r="R98">
            <v>10.398231468791789</v>
          </cell>
          <cell r="S98">
            <v>8262.3060000000005</v>
          </cell>
          <cell r="T98">
            <v>7869.7569999999996</v>
          </cell>
        </row>
        <row r="99">
          <cell r="A99" t="str">
            <v>Iceland</v>
          </cell>
          <cell r="B99">
            <v>352</v>
          </cell>
          <cell r="C99">
            <v>608.73099999999999</v>
          </cell>
          <cell r="D99">
            <v>793.07799999999997</v>
          </cell>
          <cell r="E99">
            <v>134.10599999999999</v>
          </cell>
          <cell r="F99">
            <v>147.292</v>
          </cell>
          <cell r="G99">
            <v>133.37200000000001</v>
          </cell>
          <cell r="H99">
            <v>147.26900000000001</v>
          </cell>
          <cell r="I99">
            <v>10.057</v>
          </cell>
          <cell r="J99">
            <v>9.23</v>
          </cell>
          <cell r="K99">
            <v>8.75</v>
          </cell>
          <cell r="L99">
            <v>8.0050000000000008</v>
          </cell>
          <cell r="M99">
            <v>1.7929999999999999</v>
          </cell>
          <cell r="N99">
            <v>1.7629999999999999</v>
          </cell>
          <cell r="O99">
            <v>1.3069999999999999</v>
          </cell>
          <cell r="P99">
            <v>1.2250000000000001</v>
          </cell>
          <cell r="Q99">
            <v>8.4368530020703929</v>
          </cell>
          <cell r="R99">
            <v>8.5325718710676615</v>
          </cell>
          <cell r="S99">
            <v>370.077</v>
          </cell>
          <cell r="T99">
            <v>345.34400000000005</v>
          </cell>
        </row>
        <row r="100">
          <cell r="A100" t="str">
            <v>India</v>
          </cell>
          <cell r="B100">
            <v>356</v>
          </cell>
          <cell r="C100">
            <v>75.080999999999989</v>
          </cell>
          <cell r="D100">
            <v>78.94</v>
          </cell>
          <cell r="E100">
            <v>482255.4</v>
          </cell>
          <cell r="F100">
            <v>565777.87300000002</v>
          </cell>
          <cell r="G100">
            <v>453316.64500000002</v>
          </cell>
          <cell r="H100">
            <v>537592.929</v>
          </cell>
          <cell r="I100">
            <v>17.480999999999998</v>
          </cell>
          <cell r="J100">
            <v>15.493</v>
          </cell>
          <cell r="K100">
            <v>17.766999999999999</v>
          </cell>
          <cell r="L100">
            <v>15.757</v>
          </cell>
          <cell r="M100">
            <v>-1400</v>
          </cell>
          <cell r="N100">
            <v>-1400</v>
          </cell>
          <cell r="O100">
            <v>-0.28599999999999998</v>
          </cell>
          <cell r="P100">
            <v>-0.26400000000000001</v>
          </cell>
          <cell r="Q100">
            <v>-1.0530989331686569</v>
          </cell>
          <cell r="R100">
            <v>-1.0727176524003263</v>
          </cell>
          <cell r="S100">
            <v>1592704.0049999999</v>
          </cell>
          <cell r="T100">
            <v>1607197.5180000002</v>
          </cell>
        </row>
        <row r="101">
          <cell r="A101" t="str">
            <v>Indonesia</v>
          </cell>
          <cell r="B101">
            <v>360</v>
          </cell>
          <cell r="C101">
            <v>7672.3449999999993</v>
          </cell>
          <cell r="D101">
            <v>8894.9069999999992</v>
          </cell>
          <cell r="E101">
            <v>97985.513000000006</v>
          </cell>
          <cell r="F101">
            <v>111230.73299999999</v>
          </cell>
          <cell r="G101">
            <v>97663.873000000007</v>
          </cell>
          <cell r="H101">
            <v>111550.754</v>
          </cell>
          <cell r="I101">
            <v>13.363999999999999</v>
          </cell>
          <cell r="J101">
            <v>12.601000000000001</v>
          </cell>
          <cell r="K101">
            <v>14.252999999999998</v>
          </cell>
          <cell r="L101">
            <v>13.527000000000001</v>
          </cell>
          <cell r="M101">
            <v>-900</v>
          </cell>
          <cell r="N101">
            <v>-1000</v>
          </cell>
          <cell r="O101">
            <v>-0.88900000000000001</v>
          </cell>
          <cell r="P101">
            <v>-0.92600000000000005</v>
          </cell>
          <cell r="Q101">
            <v>-4.0617807686324374</v>
          </cell>
          <cell r="R101">
            <v>-4.4136243995043314</v>
          </cell>
          <cell r="S101">
            <v>284639.58600000001</v>
          </cell>
          <cell r="T101">
            <v>293442.321</v>
          </cell>
        </row>
        <row r="102">
          <cell r="A102" t="str">
            <v>Iran (Islamic Republic of)</v>
          </cell>
          <cell r="B102">
            <v>364</v>
          </cell>
          <cell r="C102">
            <v>11396.394</v>
          </cell>
          <cell r="D102">
            <v>13228.422999999999</v>
          </cell>
          <cell r="E102">
            <v>31753.183000000001</v>
          </cell>
          <cell r="F102">
            <v>35249.557000000001</v>
          </cell>
          <cell r="G102">
            <v>30570.755000000001</v>
          </cell>
          <cell r="H102">
            <v>34265.648999999998</v>
          </cell>
          <cell r="I102">
            <v>12.561</v>
          </cell>
          <cell r="J102">
            <v>9.2740000000000009</v>
          </cell>
          <cell r="K102">
            <v>13.978</v>
          </cell>
          <cell r="L102">
            <v>13.333000000000002</v>
          </cell>
          <cell r="M102">
            <v>-456</v>
          </cell>
          <cell r="N102">
            <v>-1378.713</v>
          </cell>
          <cell r="O102">
            <v>-1.417</v>
          </cell>
          <cell r="P102">
            <v>-4.0590000000000002</v>
          </cell>
          <cell r="Q102">
            <v>-7.2687427960143696</v>
          </cell>
          <cell r="R102">
            <v>-21.817467988583562</v>
          </cell>
          <cell r="S102">
            <v>101944.497</v>
          </cell>
          <cell r="T102">
            <v>103865.792</v>
          </cell>
        </row>
        <row r="103">
          <cell r="A103" t="str">
            <v>Iraq</v>
          </cell>
          <cell r="B103">
            <v>368</v>
          </cell>
          <cell r="C103">
            <v>61224.735000000001</v>
          </cell>
          <cell r="D103">
            <v>74032.883999999991</v>
          </cell>
          <cell r="E103">
            <v>10956.321</v>
          </cell>
          <cell r="F103">
            <v>14586.626</v>
          </cell>
          <cell r="G103">
            <v>10675.550999999999</v>
          </cell>
          <cell r="H103">
            <v>14220.564</v>
          </cell>
          <cell r="I103">
            <v>29.483000000000001</v>
          </cell>
          <cell r="J103">
            <v>27.71</v>
          </cell>
          <cell r="K103">
            <v>28.295000000000002</v>
          </cell>
          <cell r="L103">
            <v>25.927999999999997</v>
          </cell>
          <cell r="M103">
            <v>138.74700000000001</v>
          </cell>
          <cell r="N103">
            <v>240</v>
          </cell>
          <cell r="O103">
            <v>1.1879999999999999</v>
          </cell>
          <cell r="P103">
            <v>1.782</v>
          </cell>
          <cell r="Q103">
            <v>3.1006565265370547</v>
          </cell>
          <cell r="R103">
            <v>4.996832216576033</v>
          </cell>
          <cell r="S103">
            <v>63692.614000000001</v>
          </cell>
          <cell r="T103">
            <v>63750.816999999995</v>
          </cell>
        </row>
        <row r="104">
          <cell r="A104" t="str">
            <v>Ireland</v>
          </cell>
          <cell r="B104">
            <v>372</v>
          </cell>
          <cell r="C104">
            <v>5668.6059999999998</v>
          </cell>
          <cell r="D104">
            <v>6880.951</v>
          </cell>
          <cell r="E104">
            <v>1792.2349999999999</v>
          </cell>
          <cell r="F104">
            <v>2063.3130000000001</v>
          </cell>
          <cell r="G104">
            <v>1816.615</v>
          </cell>
          <cell r="H104">
            <v>2084.5880000000002</v>
          </cell>
          <cell r="I104">
            <v>10.391999999999999</v>
          </cell>
          <cell r="J104">
            <v>17.437000000000001</v>
          </cell>
          <cell r="K104">
            <v>5.6059999999999999</v>
          </cell>
          <cell r="L104">
            <v>7.6749999999999998</v>
          </cell>
          <cell r="M104">
            <v>88.659000000000006</v>
          </cell>
          <cell r="N104">
            <v>194</v>
          </cell>
          <cell r="O104">
            <v>4.7859999999999996</v>
          </cell>
          <cell r="P104">
            <v>9.7620000000000005</v>
          </cell>
          <cell r="Q104">
            <v>33.720518935201568</v>
          </cell>
          <cell r="R104">
            <v>63.874200749369493</v>
          </cell>
          <cell r="S104">
            <v>5762.0820000000003</v>
          </cell>
          <cell r="T104">
            <v>4735.2</v>
          </cell>
        </row>
        <row r="105">
          <cell r="A105" t="str">
            <v>Isle of Man</v>
          </cell>
          <cell r="B105">
            <v>833</v>
          </cell>
          <cell r="C105">
            <v>398.108</v>
          </cell>
          <cell r="D105">
            <v>503.51900000000001</v>
          </cell>
          <cell r="E105">
            <v>34.912999999999997</v>
          </cell>
          <cell r="F105">
            <v>37.610999999999997</v>
          </cell>
          <cell r="G105">
            <v>37.154000000000003</v>
          </cell>
          <cell r="H105">
            <v>38.927</v>
          </cell>
          <cell r="I105">
            <v>12.535</v>
          </cell>
          <cell r="J105">
            <v>-0.50099999999999945</v>
          </cell>
          <cell r="K105">
            <v>-0.65899999999999892</v>
          </cell>
          <cell r="L105">
            <v>-0.50099999999999945</v>
          </cell>
          <cell r="M105">
            <v>4.9080000000000004</v>
          </cell>
          <cell r="N105">
            <v>0</v>
          </cell>
          <cell r="O105">
            <v>13.194000000000001</v>
          </cell>
          <cell r="P105">
            <v>0</v>
          </cell>
          <cell r="Q105">
            <v>116.02836879432623</v>
          </cell>
          <cell r="R105">
            <v>0</v>
          </cell>
          <cell r="S105">
            <v>68.640999999999991</v>
          </cell>
          <cell r="T105">
            <v>68.640999999999991</v>
          </cell>
        </row>
        <row r="106">
          <cell r="A106" t="str">
            <v>Israel</v>
          </cell>
          <cell r="B106">
            <v>376</v>
          </cell>
          <cell r="C106">
            <v>3097.2570000000001</v>
          </cell>
          <cell r="D106">
            <v>4401.357</v>
          </cell>
          <cell r="E106">
            <v>2650.6529999999998</v>
          </cell>
          <cell r="F106">
            <v>3326.7629999999999</v>
          </cell>
          <cell r="G106">
            <v>2723.2460000000001</v>
          </cell>
          <cell r="H106">
            <v>3397.8009999999999</v>
          </cell>
          <cell r="I106">
            <v>24.795999999999999</v>
          </cell>
          <cell r="J106">
            <v>19.998000000000001</v>
          </cell>
          <cell r="K106">
            <v>15.173000000000002</v>
          </cell>
          <cell r="L106">
            <v>15.056000000000001</v>
          </cell>
          <cell r="M106">
            <v>275.64</v>
          </cell>
          <cell r="N106">
            <v>158.25</v>
          </cell>
          <cell r="O106">
            <v>9.6229999999999993</v>
          </cell>
          <cell r="P106">
            <v>4.9420000000000002</v>
          </cell>
          <cell r="Q106">
            <v>44.785140510047569</v>
          </cell>
          <cell r="R106">
            <v>23.84328071489162</v>
          </cell>
          <cell r="S106">
            <v>10403.297999999999</v>
          </cell>
          <cell r="T106">
            <v>9895.4670000000006</v>
          </cell>
        </row>
        <row r="107">
          <cell r="A107" t="str">
            <v>Italy</v>
          </cell>
          <cell r="B107">
            <v>380</v>
          </cell>
          <cell r="C107">
            <v>1446.837</v>
          </cell>
          <cell r="D107">
            <v>1329.6970000000001</v>
          </cell>
          <cell r="E107">
            <v>27804.2</v>
          </cell>
          <cell r="F107">
            <v>28194.563999999998</v>
          </cell>
          <cell r="G107">
            <v>29496.85</v>
          </cell>
          <cell r="H107">
            <v>29898.18</v>
          </cell>
          <cell r="I107">
            <v>1.44</v>
          </cell>
          <cell r="J107">
            <v>1.3049999999999999</v>
          </cell>
          <cell r="K107">
            <v>-0.64700000000000024</v>
          </cell>
          <cell r="L107">
            <v>-0.76700000000000124</v>
          </cell>
          <cell r="M107">
            <v>600</v>
          </cell>
          <cell r="N107">
            <v>600</v>
          </cell>
          <cell r="O107">
            <v>2.0870000000000002</v>
          </cell>
          <cell r="P107">
            <v>2.0720000000000001</v>
          </cell>
          <cell r="Q107">
            <v>22.637861748314517</v>
          </cell>
          <cell r="R107">
            <v>22.527224150385742</v>
          </cell>
          <cell r="S107">
            <v>50911.896999999997</v>
          </cell>
          <cell r="T107">
            <v>46187.983999999997</v>
          </cell>
        </row>
        <row r="108">
          <cell r="A108" t="str">
            <v>Jamaica</v>
          </cell>
          <cell r="B108">
            <v>388</v>
          </cell>
          <cell r="C108">
            <v>60006.933999999994</v>
          </cell>
          <cell r="D108">
            <v>77430.70199999999</v>
          </cell>
          <cell r="E108">
            <v>1224.49</v>
          </cell>
          <cell r="F108">
            <v>1309.5830000000001</v>
          </cell>
          <cell r="G108">
            <v>1259.721</v>
          </cell>
          <cell r="H108">
            <v>1341.13</v>
          </cell>
          <cell r="I108">
            <v>7.9190000000000005</v>
          </cell>
          <cell r="J108">
            <v>5.0560000000000018</v>
          </cell>
          <cell r="K108">
            <v>15.81</v>
          </cell>
          <cell r="L108">
            <v>12.696000000000002</v>
          </cell>
          <cell r="M108">
            <v>-100</v>
          </cell>
          <cell r="N108">
            <v>-100</v>
          </cell>
          <cell r="O108">
            <v>-7.891</v>
          </cell>
          <cell r="P108">
            <v>-7.64</v>
          </cell>
          <cell r="Q108">
            <v>-34.510843306967047</v>
          </cell>
          <cell r="R108">
            <v>-37.644082726636199</v>
          </cell>
          <cell r="S108">
            <v>2585.7950000000001</v>
          </cell>
          <cell r="T108">
            <v>3753.0309999999999</v>
          </cell>
        </row>
        <row r="109">
          <cell r="A109" t="str">
            <v>Japan</v>
          </cell>
          <cell r="B109">
            <v>392</v>
          </cell>
          <cell r="C109">
            <v>44.048999999999999</v>
          </cell>
          <cell r="D109">
            <v>47.016999999999996</v>
          </cell>
          <cell r="E109">
            <v>61526.222000000002</v>
          </cell>
          <cell r="F109">
            <v>62578.309000000001</v>
          </cell>
          <cell r="G109">
            <v>63945.779000000002</v>
          </cell>
          <cell r="H109">
            <v>65506.343000000001</v>
          </cell>
          <cell r="I109">
            <v>2.4750000000000001</v>
          </cell>
          <cell r="J109">
            <v>1.6470000000000002</v>
          </cell>
          <cell r="K109">
            <v>2.0309999999999997</v>
          </cell>
          <cell r="L109">
            <v>1.2240000000000002</v>
          </cell>
          <cell r="M109">
            <v>280.12700000000001</v>
          </cell>
          <cell r="N109">
            <v>270</v>
          </cell>
          <cell r="O109">
            <v>0.44400000000000001</v>
          </cell>
          <cell r="P109">
            <v>0.42299999999999999</v>
          </cell>
          <cell r="Q109">
            <v>4.6192952831993246</v>
          </cell>
          <cell r="R109">
            <v>4.5941072237401679</v>
          </cell>
          <cell r="S109">
            <v>112197.62</v>
          </cell>
          <cell r="T109">
            <v>108730.77900000001</v>
          </cell>
        </row>
        <row r="110">
          <cell r="A110" t="str">
            <v>Jordan</v>
          </cell>
          <cell r="B110">
            <v>400</v>
          </cell>
          <cell r="C110">
            <v>2.452</v>
          </cell>
          <cell r="D110">
            <v>3.06</v>
          </cell>
          <cell r="E110">
            <v>2242.0030000000002</v>
          </cell>
          <cell r="F110">
            <v>2963.8420000000001</v>
          </cell>
          <cell r="G110">
            <v>2046.05</v>
          </cell>
          <cell r="H110">
            <v>2738.9340000000002</v>
          </cell>
          <cell r="I110">
            <v>29.537999999999997</v>
          </cell>
          <cell r="J110">
            <v>27.39</v>
          </cell>
          <cell r="K110">
            <v>28.025999999999996</v>
          </cell>
          <cell r="L110">
            <v>23.643000000000001</v>
          </cell>
          <cell r="M110">
            <v>35</v>
          </cell>
          <cell r="N110">
            <v>100</v>
          </cell>
          <cell r="O110">
            <v>1.512</v>
          </cell>
          <cell r="P110">
            <v>3.7469999999999999</v>
          </cell>
          <cell r="Q110">
            <v>4.6331964554723344</v>
          </cell>
          <cell r="R110">
            <v>13.474056378146699</v>
          </cell>
          <cell r="S110">
            <v>10225.464</v>
          </cell>
          <cell r="T110">
            <v>10225.464</v>
          </cell>
        </row>
        <row r="111">
          <cell r="A111" t="str">
            <v>Kazakhstan</v>
          </cell>
          <cell r="B111">
            <v>398</v>
          </cell>
          <cell r="C111">
            <v>767.93599999999992</v>
          </cell>
          <cell r="D111">
            <v>847.70600000000002</v>
          </cell>
          <cell r="E111">
            <v>7693.1930000000002</v>
          </cell>
          <cell r="F111">
            <v>7102.0069999999996</v>
          </cell>
          <cell r="G111">
            <v>8172.9409999999998</v>
          </cell>
          <cell r="H111">
            <v>7723.098</v>
          </cell>
          <cell r="I111">
            <v>-10.781000000000001</v>
          </cell>
          <cell r="J111">
            <v>-2.7889999999999997</v>
          </cell>
          <cell r="K111">
            <v>6.3119999999999994</v>
          </cell>
          <cell r="L111">
            <v>5.2490000000000006</v>
          </cell>
          <cell r="M111">
            <v>-1320.442</v>
          </cell>
          <cell r="N111">
            <v>-600</v>
          </cell>
          <cell r="O111">
            <v>-17.093</v>
          </cell>
          <cell r="P111">
            <v>-8.0380000000000003</v>
          </cell>
          <cell r="Q111">
            <v>-101.33922541350984</v>
          </cell>
          <cell r="R111">
            <v>-50.018131572695104</v>
          </cell>
          <cell r="S111">
            <v>13085.768</v>
          </cell>
          <cell r="T111">
            <v>16320.62</v>
          </cell>
        </row>
        <row r="112">
          <cell r="A112" t="str">
            <v>Kenya</v>
          </cell>
          <cell r="B112">
            <v>404</v>
          </cell>
          <cell r="C112">
            <v>5107.8019999999997</v>
          </cell>
          <cell r="D112">
            <v>5249.06</v>
          </cell>
          <cell r="E112">
            <v>13544.936</v>
          </cell>
          <cell r="F112">
            <v>17152.669999999998</v>
          </cell>
          <cell r="G112">
            <v>13680.955</v>
          </cell>
          <cell r="H112">
            <v>17103.052</v>
          </cell>
          <cell r="I112">
            <v>23.92</v>
          </cell>
          <cell r="J112">
            <v>21.965</v>
          </cell>
          <cell r="K112">
            <v>24.068000000000005</v>
          </cell>
          <cell r="L112">
            <v>23.268000000000001</v>
          </cell>
          <cell r="M112">
            <v>-21.385999999999999</v>
          </cell>
          <cell r="N112">
            <v>-211.51900000000001</v>
          </cell>
          <cell r="O112">
            <v>-0.14799999999999999</v>
          </cell>
          <cell r="P112">
            <v>-1.3029999999999999</v>
          </cell>
          <cell r="Q112">
            <v>-0.39440609479688626</v>
          </cell>
          <cell r="R112">
            <v>-3.3603039030514696</v>
          </cell>
          <cell r="S112">
            <v>83073.324999999997</v>
          </cell>
          <cell r="T112">
            <v>83260.717999999993</v>
          </cell>
        </row>
        <row r="113">
          <cell r="A113" t="str">
            <v>Kiribati</v>
          </cell>
          <cell r="B113">
            <v>296</v>
          </cell>
          <cell r="C113">
            <v>58202.656000000003</v>
          </cell>
          <cell r="D113">
            <v>60495.536999999997</v>
          </cell>
          <cell r="E113">
            <v>39.466999999999999</v>
          </cell>
          <cell r="F113">
            <v>48.805</v>
          </cell>
          <cell r="G113">
            <v>40.904000000000003</v>
          </cell>
          <cell r="H113">
            <v>50.545000000000002</v>
          </cell>
          <cell r="I113">
            <v>21.803000000000001</v>
          </cell>
          <cell r="J113">
            <v>20.555</v>
          </cell>
          <cell r="K113">
            <v>24.156000000000002</v>
          </cell>
          <cell r="L113">
            <v>22.672000000000001</v>
          </cell>
          <cell r="M113">
            <v>-1</v>
          </cell>
          <cell r="N113">
            <v>-1</v>
          </cell>
          <cell r="O113">
            <v>-2.3530000000000002</v>
          </cell>
          <cell r="P113">
            <v>-2.117</v>
          </cell>
          <cell r="Q113">
            <v>-7.3730000737300001</v>
          </cell>
          <cell r="R113">
            <v>-7.1169311792754959</v>
          </cell>
          <cell r="S113">
            <v>177.43600000000001</v>
          </cell>
          <cell r="T113">
            <v>189.226</v>
          </cell>
        </row>
        <row r="114">
          <cell r="A114" t="str">
            <v>Kuwait</v>
          </cell>
          <cell r="B114">
            <v>414</v>
          </cell>
          <cell r="C114">
            <v>138.54499999999999</v>
          </cell>
          <cell r="D114">
            <v>187.05599999999998</v>
          </cell>
          <cell r="E114">
            <v>1019.131</v>
          </cell>
          <cell r="F114">
            <v>1612.193</v>
          </cell>
          <cell r="G114">
            <v>676.53</v>
          </cell>
          <cell r="H114">
            <v>1074.68</v>
          </cell>
          <cell r="I114">
            <v>54.418999999999997</v>
          </cell>
          <cell r="J114">
            <v>37.195</v>
          </cell>
          <cell r="K114">
            <v>19.058999999999997</v>
          </cell>
          <cell r="L114">
            <v>17.669</v>
          </cell>
          <cell r="M114">
            <v>347</v>
          </cell>
          <cell r="N114">
            <v>240</v>
          </cell>
          <cell r="O114">
            <v>35.36</v>
          </cell>
          <cell r="P114">
            <v>19.526</v>
          </cell>
          <cell r="Q114">
            <v>169.20968835183911</v>
          </cell>
          <cell r="R114">
            <v>100.2979685482287</v>
          </cell>
          <cell r="S114">
            <v>5279.2250000000004</v>
          </cell>
          <cell r="T114">
            <v>3674.1680000000001</v>
          </cell>
        </row>
        <row r="115">
          <cell r="A115" t="str">
            <v>Kyrgyzstan</v>
          </cell>
          <cell r="B115">
            <v>417</v>
          </cell>
          <cell r="C115">
            <v>215.79599999999999</v>
          </cell>
          <cell r="D115">
            <v>256.60300000000001</v>
          </cell>
          <cell r="E115">
            <v>2256.607</v>
          </cell>
          <cell r="F115">
            <v>2592.2950000000001</v>
          </cell>
          <cell r="G115">
            <v>2331.2779999999998</v>
          </cell>
          <cell r="H115">
            <v>2671.4989999999998</v>
          </cell>
          <cell r="I115">
            <v>15.267999999999999</v>
          </cell>
          <cell r="J115">
            <v>12.206999999999999</v>
          </cell>
          <cell r="K115">
            <v>16.399999999999999</v>
          </cell>
          <cell r="L115">
            <v>15.143999999999998</v>
          </cell>
          <cell r="M115">
            <v>-27</v>
          </cell>
          <cell r="N115">
            <v>-75</v>
          </cell>
          <cell r="O115">
            <v>-1.1319999999999999</v>
          </cell>
          <cell r="P115">
            <v>-2.9369999999999998</v>
          </cell>
          <cell r="Q115">
            <v>-4.6862145453156945</v>
          </cell>
          <cell r="R115">
            <v>-12.987215385174833</v>
          </cell>
          <cell r="S115">
            <v>6663.7829999999994</v>
          </cell>
          <cell r="T115">
            <v>7536.3090000000002</v>
          </cell>
        </row>
        <row r="116">
          <cell r="A116" t="str">
            <v>Lao People's Democratic Republic</v>
          </cell>
          <cell r="B116">
            <v>418</v>
          </cell>
          <cell r="C116">
            <v>1118.7359999999999</v>
          </cell>
          <cell r="D116">
            <v>1383.8409999999999</v>
          </cell>
          <cell r="E116">
            <v>2334.4899999999998</v>
          </cell>
          <cell r="F116">
            <v>2963.9569999999999</v>
          </cell>
          <cell r="G116">
            <v>2351.482</v>
          </cell>
          <cell r="H116">
            <v>2960.1880000000001</v>
          </cell>
          <cell r="I116">
            <v>23.786999999999999</v>
          </cell>
          <cell r="J116">
            <v>23.050999999999998</v>
          </cell>
          <cell r="K116">
            <v>24.055</v>
          </cell>
          <cell r="L116">
            <v>23.29</v>
          </cell>
          <cell r="M116">
            <v>-6.6669999999999998</v>
          </cell>
          <cell r="N116">
            <v>-6.7</v>
          </cell>
          <cell r="O116">
            <v>-0.26800000000000002</v>
          </cell>
          <cell r="P116">
            <v>-0.23899999999999999</v>
          </cell>
          <cell r="Q116">
            <v>-0.70144096827681413</v>
          </cell>
          <cell r="R116">
            <v>-0.66679737222122148</v>
          </cell>
          <cell r="S116">
            <v>11586.184000000001</v>
          </cell>
          <cell r="T116">
            <v>11670.761999999999</v>
          </cell>
        </row>
        <row r="117">
          <cell r="A117" t="str">
            <v>Latvia</v>
          </cell>
          <cell r="B117">
            <v>428</v>
          </cell>
          <cell r="C117">
            <v>1115.2159999999999</v>
          </cell>
          <cell r="D117">
            <v>1517.079</v>
          </cell>
          <cell r="E117">
            <v>1150.769</v>
          </cell>
          <cell r="F117">
            <v>1055.212</v>
          </cell>
          <cell r="G117">
            <v>1346.962</v>
          </cell>
          <cell r="H117">
            <v>1251.7760000000001</v>
          </cell>
          <cell r="I117">
            <v>-10.231</v>
          </cell>
          <cell r="J117">
            <v>-5.6539999999999999</v>
          </cell>
          <cell r="K117">
            <v>-5.6379999999999999</v>
          </cell>
          <cell r="L117">
            <v>-4.6280000000000001</v>
          </cell>
          <cell r="M117">
            <v>-55.93</v>
          </cell>
          <cell r="N117">
            <v>-12</v>
          </cell>
          <cell r="O117">
            <v>-4.593</v>
          </cell>
          <cell r="P117">
            <v>-1.026</v>
          </cell>
          <cell r="Q117">
            <v>-57.697267297316813</v>
          </cell>
          <cell r="R117">
            <v>-11.664981724861963</v>
          </cell>
          <cell r="S117">
            <v>1677.6610000000001</v>
          </cell>
          <cell r="T117">
            <v>1797.1489999999999</v>
          </cell>
        </row>
        <row r="118">
          <cell r="A118" t="str">
            <v>Lebanon</v>
          </cell>
          <cell r="B118">
            <v>422</v>
          </cell>
          <cell r="C118">
            <v>81660.964999999997</v>
          </cell>
          <cell r="D118">
            <v>82689.210000000006</v>
          </cell>
          <cell r="E118">
            <v>1556.643</v>
          </cell>
          <cell r="F118">
            <v>1753.0170000000001</v>
          </cell>
          <cell r="G118">
            <v>1620.136</v>
          </cell>
          <cell r="H118">
            <v>1823.8009999999999</v>
          </cell>
          <cell r="I118">
            <v>13.451000000000001</v>
          </cell>
          <cell r="J118">
            <v>10.263</v>
          </cell>
          <cell r="K118">
            <v>15.276</v>
          </cell>
          <cell r="L118">
            <v>12.27</v>
          </cell>
          <cell r="M118">
            <v>-30</v>
          </cell>
          <cell r="N118">
            <v>-35</v>
          </cell>
          <cell r="O118">
            <v>-1.825</v>
          </cell>
          <cell r="P118">
            <v>-2.0070000000000001</v>
          </cell>
          <cell r="Q118">
            <v>-8.1980204513283521</v>
          </cell>
          <cell r="R118">
            <v>-10.570026425066063</v>
          </cell>
          <cell r="S118">
            <v>4701.8209999999999</v>
          </cell>
          <cell r="T118">
            <v>4920.0689999999995</v>
          </cell>
        </row>
        <row r="119">
          <cell r="A119" t="str">
            <v>Lesotho</v>
          </cell>
          <cell r="B119">
            <v>426</v>
          </cell>
          <cell r="C119">
            <v>17725.205000000002</v>
          </cell>
          <cell r="D119">
            <v>22112.805</v>
          </cell>
          <cell r="E119">
            <v>788.18399999999997</v>
          </cell>
          <cell r="F119">
            <v>835.14599999999996</v>
          </cell>
          <cell r="G119">
            <v>904.08500000000004</v>
          </cell>
          <cell r="H119">
            <v>959.62300000000005</v>
          </cell>
          <cell r="I119">
            <v>10.947000000000001</v>
          </cell>
          <cell r="J119">
            <v>0.8110000000000035</v>
          </cell>
          <cell r="K119">
            <v>15.085000000000001</v>
          </cell>
          <cell r="L119">
            <v>4.8310000000000031</v>
          </cell>
          <cell r="M119">
            <v>-36</v>
          </cell>
          <cell r="N119">
            <v>-36</v>
          </cell>
          <cell r="O119">
            <v>-4.1379999999999999</v>
          </cell>
          <cell r="P119">
            <v>-4.0199999999999996</v>
          </cell>
          <cell r="Q119">
            <v>-13.712457386634162</v>
          </cell>
          <cell r="R119">
            <v>-14.117038088553043</v>
          </cell>
          <cell r="S119">
            <v>1600.9</v>
          </cell>
          <cell r="T119">
            <v>1906.5909999999999</v>
          </cell>
        </row>
        <row r="120">
          <cell r="A120" t="str">
            <v>Liberia</v>
          </cell>
          <cell r="B120">
            <v>430</v>
          </cell>
          <cell r="C120">
            <v>27.305999999999997</v>
          </cell>
          <cell r="D120">
            <v>27.920999999999999</v>
          </cell>
          <cell r="E120">
            <v>1068.1089999999999</v>
          </cell>
          <cell r="F120">
            <v>1638.173</v>
          </cell>
          <cell r="G120">
            <v>1073.3520000000001</v>
          </cell>
          <cell r="H120">
            <v>1645.0940000000001</v>
          </cell>
          <cell r="I120">
            <v>70.980999999999995</v>
          </cell>
          <cell r="J120">
            <v>13.723999999999998</v>
          </cell>
          <cell r="K120">
            <v>28.336999999999996</v>
          </cell>
          <cell r="L120">
            <v>29.131999999999998</v>
          </cell>
          <cell r="M120">
            <v>555.11400000000003</v>
          </cell>
          <cell r="N120">
            <v>-244.548</v>
          </cell>
          <cell r="O120">
            <v>42.643999999999998</v>
          </cell>
          <cell r="P120">
            <v>-15.407999999999999</v>
          </cell>
          <cell r="Q120">
            <v>85.836751923972002</v>
          </cell>
          <cell r="R120">
            <v>-30.943613960232923</v>
          </cell>
          <cell r="S120">
            <v>10652.879000000001</v>
          </cell>
          <cell r="T120">
            <v>10652.879000000001</v>
          </cell>
        </row>
        <row r="121">
          <cell r="A121" t="str">
            <v>Libyan Arab Jamahiriya</v>
          </cell>
          <cell r="B121">
            <v>434</v>
          </cell>
          <cell r="C121">
            <v>10657.419</v>
          </cell>
          <cell r="D121">
            <v>11119.891</v>
          </cell>
          <cell r="E121">
            <v>2502.7040000000002</v>
          </cell>
          <cell r="F121">
            <v>3019.7069999999999</v>
          </cell>
          <cell r="G121">
            <v>2304.9059999999999</v>
          </cell>
          <cell r="H121">
            <v>2833.7449999999999</v>
          </cell>
          <cell r="I121">
            <v>19.72</v>
          </cell>
          <cell r="J121">
            <v>19.613</v>
          </cell>
          <cell r="K121">
            <v>19.324999999999999</v>
          </cell>
          <cell r="L121">
            <v>19.254999999999999</v>
          </cell>
          <cell r="M121">
            <v>10</v>
          </cell>
          <cell r="N121">
            <v>10</v>
          </cell>
          <cell r="O121">
            <v>0.39500000000000002</v>
          </cell>
          <cell r="P121">
            <v>0.35799999999999998</v>
          </cell>
          <cell r="Q121">
            <v>1.699284431325969</v>
          </cell>
          <cell r="R121">
            <v>1.5412523908677713</v>
          </cell>
          <cell r="S121">
            <v>9552.8310000000001</v>
          </cell>
          <cell r="T121">
            <v>9428.5889999999999</v>
          </cell>
        </row>
        <row r="122">
          <cell r="A122" t="str">
            <v>Liechtenstein</v>
          </cell>
          <cell r="B122">
            <v>438</v>
          </cell>
          <cell r="C122">
            <v>55.767000000000003</v>
          </cell>
          <cell r="D122">
            <v>56.918999999999997</v>
          </cell>
          <cell r="E122">
            <v>15.255000000000001</v>
          </cell>
          <cell r="F122">
            <v>16.829000000000001</v>
          </cell>
          <cell r="G122">
            <v>15.696</v>
          </cell>
          <cell r="H122">
            <v>17.692</v>
          </cell>
          <cell r="I122">
            <v>11.984999999999999</v>
          </cell>
          <cell r="J122">
            <v>9.8420000000000005</v>
          </cell>
          <cell r="K122">
            <v>4.99</v>
          </cell>
          <cell r="L122">
            <v>3.9060000000000006</v>
          </cell>
          <cell r="M122">
            <v>1.1160000000000001</v>
          </cell>
          <cell r="N122">
            <v>1</v>
          </cell>
          <cell r="O122">
            <v>6.9950000000000001</v>
          </cell>
          <cell r="P122">
            <v>5.9359999999999999</v>
          </cell>
          <cell r="Q122">
            <v>58.064516129032263</v>
          </cell>
          <cell r="R122">
            <v>54.141851651326476</v>
          </cell>
          <cell r="S122">
            <v>44.280999999999999</v>
          </cell>
          <cell r="T122">
            <v>32.052999999999997</v>
          </cell>
        </row>
        <row r="123">
          <cell r="A123" t="str">
            <v>Lithuania</v>
          </cell>
          <cell r="B123">
            <v>440</v>
          </cell>
          <cell r="C123">
            <v>99.436000000000007</v>
          </cell>
          <cell r="D123">
            <v>102.92400000000001</v>
          </cell>
          <cell r="E123">
            <v>1709.172</v>
          </cell>
          <cell r="F123">
            <v>1600.1790000000001</v>
          </cell>
          <cell r="G123">
            <v>1919.002</v>
          </cell>
          <cell r="H123">
            <v>1830.854</v>
          </cell>
          <cell r="I123">
            <v>-7.2180000000000017</v>
          </cell>
          <cell r="J123">
            <v>-3.9550000000000001</v>
          </cell>
          <cell r="K123">
            <v>-1.1160000000000014</v>
          </cell>
          <cell r="L123">
            <v>-2.8010000000000002</v>
          </cell>
          <cell r="M123">
            <v>-108.73699999999999</v>
          </cell>
          <cell r="N123">
            <v>-20</v>
          </cell>
          <cell r="O123">
            <v>-6.1020000000000003</v>
          </cell>
          <cell r="P123">
            <v>-1.1539999999999999</v>
          </cell>
          <cell r="Q123">
            <v>-57.543764949937547</v>
          </cell>
          <cell r="R123">
            <v>-12.771147423740285</v>
          </cell>
          <cell r="S123">
            <v>2564.5889999999999</v>
          </cell>
          <cell r="T123">
            <v>2802.433</v>
          </cell>
        </row>
        <row r="124">
          <cell r="A124" t="str">
            <v>Luxembourg</v>
          </cell>
          <cell r="B124">
            <v>442</v>
          </cell>
          <cell r="C124">
            <v>409.48500000000001</v>
          </cell>
          <cell r="D124">
            <v>448.48400000000004</v>
          </cell>
          <cell r="E124">
            <v>199.703</v>
          </cell>
          <cell r="F124">
            <v>229.07400000000001</v>
          </cell>
          <cell r="G124">
            <v>205.375</v>
          </cell>
          <cell r="H124">
            <v>235.83</v>
          </cell>
          <cell r="I124">
            <v>14.35</v>
          </cell>
          <cell r="J124">
            <v>13.189</v>
          </cell>
          <cell r="K124">
            <v>5.0360000000000014</v>
          </cell>
          <cell r="L124">
            <v>4.4939999999999998</v>
          </cell>
          <cell r="M124">
            <v>19.567</v>
          </cell>
          <cell r="N124">
            <v>19.567</v>
          </cell>
          <cell r="O124">
            <v>9.3140000000000001</v>
          </cell>
          <cell r="P124">
            <v>8.6950000000000003</v>
          </cell>
          <cell r="Q124">
            <v>70.62624075076701</v>
          </cell>
          <cell r="R124">
            <v>68.764716218590763</v>
          </cell>
          <cell r="S124">
            <v>721.41499999999996</v>
          </cell>
          <cell r="T124">
            <v>453.09500000000003</v>
          </cell>
        </row>
        <row r="125">
          <cell r="A125" t="str">
            <v>Madagascar</v>
          </cell>
          <cell r="B125">
            <v>450</v>
          </cell>
          <cell r="C125">
            <v>145.57300000000001</v>
          </cell>
          <cell r="D125">
            <v>169.63499999999999</v>
          </cell>
          <cell r="E125">
            <v>6935.0190000000002</v>
          </cell>
          <cell r="F125">
            <v>9254.9950000000008</v>
          </cell>
          <cell r="G125">
            <v>7010.482</v>
          </cell>
          <cell r="H125">
            <v>9350.9259999999995</v>
          </cell>
          <cell r="I125">
            <v>29.854000000000006</v>
          </cell>
          <cell r="J125">
            <v>27.71</v>
          </cell>
          <cell r="K125">
            <v>29.894000000000005</v>
          </cell>
          <cell r="L125">
            <v>27.71</v>
          </cell>
          <cell r="M125">
            <v>-3</v>
          </cell>
          <cell r="N125">
            <v>0</v>
          </cell>
          <cell r="O125">
            <v>-0.04</v>
          </cell>
          <cell r="P125">
            <v>0</v>
          </cell>
          <cell r="Q125">
            <v>-9.2677174816645932E-2</v>
          </cell>
          <cell r="R125">
            <v>0</v>
          </cell>
          <cell r="S125">
            <v>43508.377</v>
          </cell>
          <cell r="T125">
            <v>43508.377</v>
          </cell>
        </row>
        <row r="126">
          <cell r="A126" t="str">
            <v>Malawi</v>
          </cell>
          <cell r="B126">
            <v>454</v>
          </cell>
          <cell r="C126">
            <v>9970.3669999999984</v>
          </cell>
          <cell r="D126">
            <v>12599.059000000001</v>
          </cell>
          <cell r="E126">
            <v>4980.527</v>
          </cell>
          <cell r="F126">
            <v>6397.1970000000001</v>
          </cell>
          <cell r="G126">
            <v>5129.9889999999996</v>
          </cell>
          <cell r="H126">
            <v>6486.7380000000003</v>
          </cell>
          <cell r="I126">
            <v>25.933999999999997</v>
          </cell>
          <cell r="J126">
            <v>22.487000000000002</v>
          </cell>
          <cell r="K126">
            <v>26.858999999999998</v>
          </cell>
          <cell r="L126">
            <v>22.815000000000001</v>
          </cell>
          <cell r="M126">
            <v>-50</v>
          </cell>
          <cell r="N126">
            <v>-20</v>
          </cell>
          <cell r="O126">
            <v>-0.92500000000000004</v>
          </cell>
          <cell r="P126">
            <v>-0.32800000000000001</v>
          </cell>
          <cell r="Q126">
            <v>-1.9227692799921241</v>
          </cell>
          <cell r="R126">
            <v>-0.73544607378436277</v>
          </cell>
          <cell r="S126">
            <v>29451.609</v>
          </cell>
          <cell r="T126">
            <v>29681.004000000001</v>
          </cell>
        </row>
        <row r="127">
          <cell r="A127" t="str">
            <v>Malaysia</v>
          </cell>
          <cell r="B127">
            <v>458</v>
          </cell>
          <cell r="C127">
            <v>7524.8150000000005</v>
          </cell>
          <cell r="D127">
            <v>9402.098</v>
          </cell>
          <cell r="E127">
            <v>10338.368</v>
          </cell>
          <cell r="F127">
            <v>12864.55</v>
          </cell>
          <cell r="G127">
            <v>10023.962</v>
          </cell>
          <cell r="H127">
            <v>12482.817999999999</v>
          </cell>
          <cell r="I127">
            <v>24.307000000000002</v>
          </cell>
          <cell r="J127">
            <v>19.445</v>
          </cell>
          <cell r="K127">
            <v>20.709000000000003</v>
          </cell>
          <cell r="L127">
            <v>18.204000000000001</v>
          </cell>
          <cell r="M127">
            <v>390</v>
          </cell>
          <cell r="N127">
            <v>150</v>
          </cell>
          <cell r="O127">
            <v>3.5979999999999999</v>
          </cell>
          <cell r="P127">
            <v>1.2410000000000001</v>
          </cell>
          <cell r="Q127">
            <v>14.121158818500746</v>
          </cell>
          <cell r="R127">
            <v>5.4311736331727403</v>
          </cell>
          <cell r="S127">
            <v>38924.04</v>
          </cell>
          <cell r="T127">
            <v>38271.566999999995</v>
          </cell>
        </row>
        <row r="128">
          <cell r="A128" t="str">
            <v>Maldives</v>
          </cell>
          <cell r="B128">
            <v>462</v>
          </cell>
          <cell r="C128">
            <v>1189.3309999999999</v>
          </cell>
          <cell r="D128">
            <v>1586.3440000000001</v>
          </cell>
          <cell r="E128">
            <v>129.25299999999999</v>
          </cell>
          <cell r="F128">
            <v>169.03399999999999</v>
          </cell>
          <cell r="G128">
            <v>122.55</v>
          </cell>
          <cell r="H128">
            <v>160.16399999999999</v>
          </cell>
          <cell r="I128">
            <v>28.343000000000004</v>
          </cell>
          <cell r="J128">
            <v>25.178999999999998</v>
          </cell>
          <cell r="K128">
            <v>28.343000000000004</v>
          </cell>
          <cell r="L128">
            <v>25.178999999999998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682.255</v>
          </cell>
          <cell r="T128">
            <v>682.255</v>
          </cell>
        </row>
        <row r="129">
          <cell r="A129" t="str">
            <v>Mali</v>
          </cell>
          <cell r="B129">
            <v>466</v>
          </cell>
          <cell r="C129">
            <v>732.32100000000003</v>
          </cell>
          <cell r="D129">
            <v>751.21800000000007</v>
          </cell>
          <cell r="E129">
            <v>5042.3220000000001</v>
          </cell>
          <cell r="F129">
            <v>6736.5420000000004</v>
          </cell>
          <cell r="G129">
            <v>5104.6450000000004</v>
          </cell>
          <cell r="H129">
            <v>6781.8739999999998</v>
          </cell>
          <cell r="I129">
            <v>27.529000000000003</v>
          </cell>
          <cell r="J129">
            <v>29.748000000000001</v>
          </cell>
          <cell r="K129">
            <v>32.74</v>
          </cell>
          <cell r="L129">
            <v>31.881</v>
          </cell>
          <cell r="M129">
            <v>-283.89600000000002</v>
          </cell>
          <cell r="N129">
            <v>-134.20400000000001</v>
          </cell>
          <cell r="O129">
            <v>-5.2110000000000003</v>
          </cell>
          <cell r="P129">
            <v>-2.133</v>
          </cell>
          <cell r="Q129">
            <v>-10.182447351091714</v>
          </cell>
          <cell r="R129">
            <v>-4.2922740410555615</v>
          </cell>
          <cell r="S129">
            <v>41975.616999999998</v>
          </cell>
          <cell r="T129">
            <v>44306.623999999996</v>
          </cell>
        </row>
        <row r="130">
          <cell r="A130" t="str">
            <v>Malta</v>
          </cell>
          <cell r="B130">
            <v>470</v>
          </cell>
          <cell r="C130">
            <v>7391.2650000000003</v>
          </cell>
          <cell r="D130">
            <v>8527.777</v>
          </cell>
          <cell r="E130">
            <v>187.15100000000001</v>
          </cell>
          <cell r="F130">
            <v>199.17599999999999</v>
          </cell>
          <cell r="G130">
            <v>190.63399999999999</v>
          </cell>
          <cell r="H130">
            <v>202.45400000000001</v>
          </cell>
          <cell r="I130">
            <v>7.2850000000000001</v>
          </cell>
          <cell r="J130">
            <v>4.9560000000000013</v>
          </cell>
          <cell r="K130">
            <v>4.4260000000000002</v>
          </cell>
          <cell r="L130">
            <v>2.1830000000000007</v>
          </cell>
          <cell r="M130">
            <v>5.5</v>
          </cell>
          <cell r="N130">
            <v>5.5</v>
          </cell>
          <cell r="O130">
            <v>2.859</v>
          </cell>
          <cell r="P130">
            <v>2.7730000000000001</v>
          </cell>
          <cell r="Q130">
            <v>23.380377486821967</v>
          </cell>
          <cell r="R130">
            <v>27.397260273972602</v>
          </cell>
          <cell r="S130">
            <v>428.28500000000003</v>
          </cell>
          <cell r="T130">
            <v>385.33199999999999</v>
          </cell>
        </row>
        <row r="131">
          <cell r="A131" t="str">
            <v>Marshall Islands</v>
          </cell>
          <cell r="B131">
            <v>584</v>
          </cell>
          <cell r="C131">
            <v>0.78100000000000003</v>
          </cell>
          <cell r="D131">
            <v>0.78299999999999992</v>
          </cell>
          <cell r="E131">
            <v>26.082000000000001</v>
          </cell>
          <cell r="F131">
            <v>31.687000000000001</v>
          </cell>
          <cell r="G131">
            <v>24.927</v>
          </cell>
          <cell r="H131">
            <v>30.276</v>
          </cell>
          <cell r="I131">
            <v>4.3930000000000042</v>
          </cell>
          <cell r="J131">
            <v>34.427999999999997</v>
          </cell>
          <cell r="K131">
            <v>35.916000000000004</v>
          </cell>
          <cell r="L131">
            <v>34.427999999999997</v>
          </cell>
          <cell r="M131">
            <v>-8.1289999999999996</v>
          </cell>
          <cell r="N131">
            <v>0</v>
          </cell>
          <cell r="O131">
            <v>-31.523</v>
          </cell>
          <cell r="P131">
            <v>0</v>
          </cell>
          <cell r="Q131">
            <v>-75.373203523412144</v>
          </cell>
          <cell r="R131">
            <v>0</v>
          </cell>
          <cell r="S131">
            <v>149.69200000000001</v>
          </cell>
          <cell r="T131">
            <v>149.69200000000001</v>
          </cell>
        </row>
        <row r="132">
          <cell r="A132" t="str">
            <v>Martinique</v>
          </cell>
          <cell r="B132">
            <v>474</v>
          </cell>
          <cell r="C132">
            <v>5624.9539999999997</v>
          </cell>
          <cell r="D132">
            <v>7204.723</v>
          </cell>
          <cell r="E132">
            <v>180.32400000000001</v>
          </cell>
          <cell r="F132">
            <v>187.55</v>
          </cell>
          <cell r="G132">
            <v>195.08799999999999</v>
          </cell>
          <cell r="H132">
            <v>208.38200000000001</v>
          </cell>
          <cell r="I132">
            <v>5.6050000000000004</v>
          </cell>
          <cell r="J132">
            <v>5.0380000000000003</v>
          </cell>
          <cell r="K132">
            <v>8.7309999999999999</v>
          </cell>
          <cell r="L132">
            <v>7.0840000000000005</v>
          </cell>
          <cell r="M132">
            <v>-5.952</v>
          </cell>
          <cell r="N132">
            <v>-4</v>
          </cell>
          <cell r="O132">
            <v>-3.1259999999999999</v>
          </cell>
          <cell r="P132">
            <v>-2.0459999999999998</v>
          </cell>
          <cell r="Q132">
            <v>-20.066754323859612</v>
          </cell>
          <cell r="R132">
            <v>-14.336917562724016</v>
          </cell>
          <cell r="S132">
            <v>350.31200000000001</v>
          </cell>
          <cell r="T132">
            <v>436.137</v>
          </cell>
        </row>
        <row r="133">
          <cell r="A133" t="str">
            <v>Mauritania</v>
          </cell>
          <cell r="B133">
            <v>478</v>
          </cell>
          <cell r="C133">
            <v>10328.968000000001</v>
          </cell>
          <cell r="D133">
            <v>10097.731</v>
          </cell>
          <cell r="E133">
            <v>1131.2650000000001</v>
          </cell>
          <cell r="F133">
            <v>1517.6020000000001</v>
          </cell>
          <cell r="G133">
            <v>1168.748</v>
          </cell>
          <cell r="H133">
            <v>1551.14</v>
          </cell>
          <cell r="I133">
            <v>27.868999999999996</v>
          </cell>
          <cell r="J133">
            <v>29.701000000000004</v>
          </cell>
          <cell r="K133">
            <v>27.067999999999998</v>
          </cell>
          <cell r="L133">
            <v>27.601000000000003</v>
          </cell>
          <cell r="M133">
            <v>9.9</v>
          </cell>
          <cell r="N133">
            <v>30</v>
          </cell>
          <cell r="O133">
            <v>0.80100000000000005</v>
          </cell>
          <cell r="P133">
            <v>2.1</v>
          </cell>
          <cell r="Q133">
            <v>1.8807669729720489</v>
          </cell>
          <cell r="R133">
            <v>5.0250162056772627</v>
          </cell>
          <cell r="S133">
            <v>7496.8620000000001</v>
          </cell>
          <cell r="T133">
            <v>7475.6379999999999</v>
          </cell>
        </row>
        <row r="134">
          <cell r="A134" t="str">
            <v>Mauritius</v>
          </cell>
          <cell r="B134">
            <v>480</v>
          </cell>
          <cell r="C134">
            <v>267.47800000000001</v>
          </cell>
          <cell r="D134">
            <v>294.56100000000004</v>
          </cell>
          <cell r="E134">
            <v>561.11300000000006</v>
          </cell>
          <cell r="F134">
            <v>618.04100000000005</v>
          </cell>
          <cell r="G134">
            <v>563.48500000000001</v>
          </cell>
          <cell r="H134">
            <v>626.62199999999996</v>
          </cell>
          <cell r="I134">
            <v>10.579000000000001</v>
          </cell>
          <cell r="J134">
            <v>9.7040000000000006</v>
          </cell>
          <cell r="K134">
            <v>10.925000000000001</v>
          </cell>
          <cell r="L134">
            <v>9.7040000000000006</v>
          </cell>
          <cell r="M134">
            <v>-2</v>
          </cell>
          <cell r="N134">
            <v>0</v>
          </cell>
          <cell r="O134">
            <v>-0.34599999999999997</v>
          </cell>
          <cell r="P134">
            <v>0</v>
          </cell>
          <cell r="Q134">
            <v>-1.9647523429671692</v>
          </cell>
          <cell r="R134">
            <v>0</v>
          </cell>
          <cell r="S134">
            <v>1465.4860000000001</v>
          </cell>
          <cell r="T134">
            <v>1465.4860000000001</v>
          </cell>
        </row>
        <row r="135">
          <cell r="A135" t="str">
            <v>Mexico</v>
          </cell>
          <cell r="B135">
            <v>484</v>
          </cell>
          <cell r="C135">
            <v>3608.85</v>
          </cell>
          <cell r="D135">
            <v>4147.9009999999998</v>
          </cell>
          <cell r="E135">
            <v>45485.18</v>
          </cell>
          <cell r="F135">
            <v>52307.654999999999</v>
          </cell>
          <cell r="G135">
            <v>47038.076999999997</v>
          </cell>
          <cell r="H135">
            <v>54721.705000000002</v>
          </cell>
          <cell r="I135">
            <v>15.71</v>
          </cell>
          <cell r="J135">
            <v>13.405999999999999</v>
          </cell>
          <cell r="K135">
            <v>19.863</v>
          </cell>
          <cell r="L135">
            <v>17.268999999999998</v>
          </cell>
          <cell r="M135">
            <v>-2000</v>
          </cell>
          <cell r="N135">
            <v>-2000</v>
          </cell>
          <cell r="O135">
            <v>-4.1529999999999996</v>
          </cell>
          <cell r="P135">
            <v>-3.863</v>
          </cell>
          <cell r="Q135">
            <v>-17.013505405658538</v>
          </cell>
          <cell r="R135">
            <v>-17.776104453811861</v>
          </cell>
          <cell r="S135">
            <v>139014.54700000002</v>
          </cell>
          <cell r="T135">
            <v>157831.33499999999</v>
          </cell>
        </row>
        <row r="136">
          <cell r="A136" t="str">
            <v>Federated States of Micronesia</v>
          </cell>
          <cell r="B136">
            <v>583</v>
          </cell>
          <cell r="C136">
            <v>72.067000000000007</v>
          </cell>
          <cell r="D136">
            <v>76.537999999999997</v>
          </cell>
          <cell r="E136">
            <v>54.798999999999999</v>
          </cell>
          <cell r="F136">
            <v>55.588999999999999</v>
          </cell>
          <cell r="G136">
            <v>52.414000000000001</v>
          </cell>
          <cell r="H136">
            <v>54.898000000000003</v>
          </cell>
          <cell r="I136">
            <v>-0.22500000000000142</v>
          </cell>
          <cell r="J136">
            <v>6.2409999999999997</v>
          </cell>
          <cell r="K136">
            <v>25.192999999999998</v>
          </cell>
          <cell r="L136">
            <v>24.625</v>
          </cell>
          <cell r="M136">
            <v>-13.618</v>
          </cell>
          <cell r="N136">
            <v>-10</v>
          </cell>
          <cell r="O136">
            <v>-25.417999999999999</v>
          </cell>
          <cell r="P136">
            <v>-18.384</v>
          </cell>
          <cell r="Q136">
            <v>-80.747109398161882</v>
          </cell>
          <cell r="R136">
            <v>-59.584102961329911</v>
          </cell>
          <cell r="S136">
            <v>98.584999999999994</v>
          </cell>
          <cell r="T136">
            <v>240.55500000000001</v>
          </cell>
        </row>
        <row r="137">
          <cell r="A137" t="str">
            <v>Monaco</v>
          </cell>
          <cell r="B137">
            <v>492</v>
          </cell>
          <cell r="C137">
            <v>57301.05</v>
          </cell>
          <cell r="D137">
            <v>58092.743999999999</v>
          </cell>
          <cell r="E137">
            <v>14.843999999999999</v>
          </cell>
          <cell r="F137">
            <v>16.757999999999999</v>
          </cell>
          <cell r="G137">
            <v>16.756</v>
          </cell>
          <cell r="H137">
            <v>18.495000000000001</v>
          </cell>
          <cell r="I137">
            <v>10.958000000000002</v>
          </cell>
          <cell r="J137">
            <v>10.917</v>
          </cell>
          <cell r="K137">
            <v>-1.0889999999999986</v>
          </cell>
          <cell r="L137">
            <v>0.42600000000000016</v>
          </cell>
          <cell r="M137">
            <v>1.9570000000000001</v>
          </cell>
          <cell r="N137">
            <v>1.8</v>
          </cell>
          <cell r="O137">
            <v>12.047000000000001</v>
          </cell>
          <cell r="P137">
            <v>10.491</v>
          </cell>
          <cell r="Q137">
            <v>110.56497175141243</v>
          </cell>
          <cell r="R137">
            <v>96.878363832077497</v>
          </cell>
          <cell r="S137">
            <v>54.518000000000001</v>
          </cell>
          <cell r="T137">
            <v>32.006999999999998</v>
          </cell>
        </row>
        <row r="138">
          <cell r="A138" t="str">
            <v>Mongolia</v>
          </cell>
          <cell r="B138">
            <v>496</v>
          </cell>
          <cell r="C138">
            <v>2484.2110000000002</v>
          </cell>
          <cell r="D138">
            <v>2650.7130000000002</v>
          </cell>
          <cell r="E138">
            <v>1194.77</v>
          </cell>
          <cell r="F138">
            <v>1325.521</v>
          </cell>
          <cell r="G138">
            <v>1194.5260000000001</v>
          </cell>
          <cell r="H138">
            <v>1320.9659999999999</v>
          </cell>
          <cell r="I138">
            <v>8.84</v>
          </cell>
          <cell r="J138">
            <v>11.602</v>
          </cell>
          <cell r="K138">
            <v>16.207000000000001</v>
          </cell>
          <cell r="L138">
            <v>15.49</v>
          </cell>
          <cell r="M138">
            <v>-90</v>
          </cell>
          <cell r="N138">
            <v>-50</v>
          </cell>
          <cell r="O138">
            <v>-7.367</v>
          </cell>
          <cell r="P138">
            <v>-3.8879999999999999</v>
          </cell>
          <cell r="Q138">
            <v>-30.330603579011221</v>
          </cell>
          <cell r="R138">
            <v>-17.089985610232112</v>
          </cell>
          <cell r="S138">
            <v>3624.8040000000001</v>
          </cell>
          <cell r="T138">
            <v>3754.2550000000001</v>
          </cell>
        </row>
        <row r="139">
          <cell r="A139" t="str">
            <v>Montserrat</v>
          </cell>
          <cell r="B139">
            <v>500</v>
          </cell>
          <cell r="C139">
            <v>27225.891</v>
          </cell>
          <cell r="D139">
            <v>34255.721999999994</v>
          </cell>
          <cell r="E139">
            <v>5.0910000000000002</v>
          </cell>
          <cell r="F139">
            <v>2.2280000000000002</v>
          </cell>
          <cell r="G139">
            <v>5.1420000000000003</v>
          </cell>
          <cell r="H139">
            <v>2.2719999999999998</v>
          </cell>
          <cell r="I139">
            <v>-178.79</v>
          </cell>
          <cell r="J139">
            <v>28.011000000000003</v>
          </cell>
          <cell r="K139">
            <v>14.761999999999999</v>
          </cell>
          <cell r="L139">
            <v>13.839</v>
          </cell>
          <cell r="M139">
            <v>-6.8440000000000003</v>
          </cell>
          <cell r="N139">
            <v>0.29799999999999999</v>
          </cell>
          <cell r="O139">
            <v>-193.55199999999999</v>
          </cell>
          <cell r="P139">
            <v>14.172000000000001</v>
          </cell>
          <cell r="Q139">
            <v>-927.37127371273721</v>
          </cell>
          <cell r="R139">
            <v>75.252525252525245</v>
          </cell>
          <cell r="S139">
            <v>5.3870000000000005</v>
          </cell>
          <cell r="T139">
            <v>5.3870000000000005</v>
          </cell>
        </row>
        <row r="140">
          <cell r="A140" t="str">
            <v>Morocco</v>
          </cell>
          <cell r="B140">
            <v>504</v>
          </cell>
          <cell r="C140">
            <v>80.371000000000009</v>
          </cell>
          <cell r="D140">
            <v>99.35</v>
          </cell>
          <cell r="E140">
            <v>13462.416999999999</v>
          </cell>
          <cell r="F140">
            <v>15645.503000000001</v>
          </cell>
          <cell r="G140">
            <v>13541.326999999999</v>
          </cell>
          <cell r="H140">
            <v>15832.957</v>
          </cell>
          <cell r="I140">
            <v>15.838999999999999</v>
          </cell>
          <cell r="J140">
            <v>14.811000000000003</v>
          </cell>
          <cell r="K140">
            <v>17.972999999999999</v>
          </cell>
          <cell r="L140">
            <v>17.447000000000003</v>
          </cell>
          <cell r="M140">
            <v>-300</v>
          </cell>
          <cell r="N140">
            <v>-400</v>
          </cell>
          <cell r="O140">
            <v>-2.1339999999999999</v>
          </cell>
          <cell r="P140">
            <v>-2.6360000000000001</v>
          </cell>
          <cell r="Q140">
            <v>-8.8225329845099836</v>
          </cell>
          <cell r="R140">
            <v>-11.322441333477883</v>
          </cell>
          <cell r="S140">
            <v>46396.964999999997</v>
          </cell>
          <cell r="T140">
            <v>50024.739000000001</v>
          </cell>
        </row>
        <row r="141">
          <cell r="A141" t="str">
            <v>Mozambique</v>
          </cell>
          <cell r="B141">
            <v>508</v>
          </cell>
          <cell r="C141">
            <v>2497.7309999999998</v>
          </cell>
          <cell r="D141">
            <v>2306.9880000000003</v>
          </cell>
          <cell r="E141">
            <v>7563.0370000000003</v>
          </cell>
          <cell r="F141">
            <v>9579.8469999999998</v>
          </cell>
          <cell r="G141">
            <v>8290.7039999999997</v>
          </cell>
          <cell r="H141">
            <v>10212.448</v>
          </cell>
          <cell r="I141">
            <v>24.366999999999997</v>
          </cell>
          <cell r="J141">
            <v>19.963999999999999</v>
          </cell>
          <cell r="K141">
            <v>23.477999999999998</v>
          </cell>
          <cell r="L141">
            <v>20.175999999999998</v>
          </cell>
          <cell r="M141">
            <v>75</v>
          </cell>
          <cell r="N141">
            <v>-20</v>
          </cell>
          <cell r="O141">
            <v>0.88900000000000001</v>
          </cell>
          <cell r="P141">
            <v>-0.21199999999999999</v>
          </cell>
          <cell r="Q141">
            <v>2.0705208353750968</v>
          </cell>
          <cell r="R141">
            <v>-0.52557044759418814</v>
          </cell>
          <cell r="S141">
            <v>37604.353000000003</v>
          </cell>
          <cell r="T141">
            <v>37778.622000000003</v>
          </cell>
        </row>
        <row r="142">
          <cell r="A142" t="str">
            <v>Myanmar</v>
          </cell>
          <cell r="B142">
            <v>104</v>
          </cell>
          <cell r="C142">
            <v>1692.269</v>
          </cell>
          <cell r="D142">
            <v>1794.769</v>
          </cell>
          <cell r="E142">
            <v>22167.499</v>
          </cell>
          <cell r="F142">
            <v>25083.251</v>
          </cell>
          <cell r="G142">
            <v>22332.133000000002</v>
          </cell>
          <cell r="H142">
            <v>25436.241000000002</v>
          </cell>
          <cell r="I142">
            <v>13.984999999999999</v>
          </cell>
          <cell r="J142">
            <v>11.381999999999998</v>
          </cell>
          <cell r="K142">
            <v>13.725</v>
          </cell>
          <cell r="L142">
            <v>11.096999999999998</v>
          </cell>
          <cell r="M142">
            <v>60</v>
          </cell>
          <cell r="N142">
            <v>70</v>
          </cell>
          <cell r="O142">
            <v>0.26</v>
          </cell>
          <cell r="P142">
            <v>0.28499999999999998</v>
          </cell>
          <cell r="Q142">
            <v>1.0827535939749815</v>
          </cell>
          <cell r="R142">
            <v>1.3682513688866285</v>
          </cell>
          <cell r="S142">
            <v>63657.320999999996</v>
          </cell>
          <cell r="T142">
            <v>63769.157999999996</v>
          </cell>
        </row>
        <row r="143">
          <cell r="A143" t="str">
            <v>Namibia</v>
          </cell>
          <cell r="B143">
            <v>516</v>
          </cell>
          <cell r="C143">
            <v>2141.4610000000002</v>
          </cell>
          <cell r="D143">
            <v>3283.2669999999998</v>
          </cell>
          <cell r="E143">
            <v>817.63800000000003</v>
          </cell>
          <cell r="F143">
            <v>1007.122</v>
          </cell>
          <cell r="G143">
            <v>833.90899999999999</v>
          </cell>
          <cell r="H143">
            <v>1024.1300000000001</v>
          </cell>
          <cell r="I143">
            <v>27.398999999999997</v>
          </cell>
          <cell r="J143">
            <v>13.941000000000001</v>
          </cell>
          <cell r="K143">
            <v>25.131999999999998</v>
          </cell>
          <cell r="L143">
            <v>14.501000000000001</v>
          </cell>
          <cell r="M143">
            <v>20.100000000000001</v>
          </cell>
          <cell r="N143">
            <v>-5.5</v>
          </cell>
          <cell r="O143">
            <v>2.2669999999999999</v>
          </cell>
          <cell r="P143">
            <v>-0.56000000000000005</v>
          </cell>
          <cell r="Q143">
            <v>6.4645606993303879</v>
          </cell>
          <cell r="R143">
            <v>-1.9235477214702899</v>
          </cell>
          <cell r="S143">
            <v>3059.9009999999998</v>
          </cell>
          <cell r="T143">
            <v>3025.8789999999999</v>
          </cell>
        </row>
        <row r="144">
          <cell r="A144" t="str">
            <v>Nauru</v>
          </cell>
          <cell r="B144">
            <v>520</v>
          </cell>
          <cell r="C144">
            <v>4807.6099999999997</v>
          </cell>
          <cell r="D144">
            <v>5853.4519999999993</v>
          </cell>
          <cell r="E144">
            <v>5.3570000000000002</v>
          </cell>
          <cell r="F144">
            <v>6.7720000000000002</v>
          </cell>
          <cell r="G144">
            <v>5.4050000000000002</v>
          </cell>
          <cell r="H144">
            <v>6.8630000000000004</v>
          </cell>
          <cell r="I144">
            <v>24.984999999999999</v>
          </cell>
          <cell r="J144">
            <v>22.283000000000001</v>
          </cell>
          <cell r="K144">
            <v>14.705</v>
          </cell>
          <cell r="L144">
            <v>13.611000000000001</v>
          </cell>
          <cell r="M144">
            <v>0.59</v>
          </cell>
          <cell r="N144">
            <v>0.56000000000000005</v>
          </cell>
          <cell r="O144">
            <v>10.28</v>
          </cell>
          <cell r="P144">
            <v>8.6720000000000006</v>
          </cell>
          <cell r="Q144">
            <v>54.986020503261877</v>
          </cell>
          <cell r="R144">
            <v>49.036777583187401</v>
          </cell>
          <cell r="S144">
            <v>18.071999999999999</v>
          </cell>
          <cell r="T144">
            <v>18.071999999999999</v>
          </cell>
        </row>
        <row r="145">
          <cell r="A145" t="str">
            <v>Nepal</v>
          </cell>
          <cell r="B145">
            <v>524</v>
          </cell>
          <cell r="C145">
            <v>30.951000000000001</v>
          </cell>
          <cell r="D145">
            <v>34.521000000000001</v>
          </cell>
          <cell r="E145">
            <v>10788.371999999999</v>
          </cell>
          <cell r="F145">
            <v>13445.541999999999</v>
          </cell>
          <cell r="G145">
            <v>10893.688</v>
          </cell>
          <cell r="H145">
            <v>13687.087</v>
          </cell>
          <cell r="I145">
            <v>23.841999999999999</v>
          </cell>
          <cell r="J145">
            <v>20.961000000000002</v>
          </cell>
          <cell r="K145">
            <v>24.701999999999998</v>
          </cell>
          <cell r="L145">
            <v>21.737000000000002</v>
          </cell>
          <cell r="M145">
            <v>-99.087999999999994</v>
          </cell>
          <cell r="N145">
            <v>-100</v>
          </cell>
          <cell r="O145">
            <v>-0.86</v>
          </cell>
          <cell r="P145">
            <v>-0.77600000000000002</v>
          </cell>
          <cell r="Q145">
            <v>-2.4926325110339387</v>
          </cell>
          <cell r="R145">
            <v>-2.5479544130188239</v>
          </cell>
          <cell r="S145">
            <v>51171.841</v>
          </cell>
          <cell r="T145">
            <v>51639.667000000001</v>
          </cell>
        </row>
        <row r="146">
          <cell r="A146" t="str">
            <v>Netherlands</v>
          </cell>
          <cell r="B146">
            <v>528</v>
          </cell>
          <cell r="C146">
            <v>3628.174</v>
          </cell>
          <cell r="D146">
            <v>3431.0330000000004</v>
          </cell>
          <cell r="E146">
            <v>7644.75</v>
          </cell>
          <cell r="F146">
            <v>8091.1279999999997</v>
          </cell>
          <cell r="G146">
            <v>7814.15</v>
          </cell>
          <cell r="H146">
            <v>8208.0450000000001</v>
          </cell>
          <cell r="I146">
            <v>5.5949999999999998</v>
          </cell>
          <cell r="J146">
            <v>4.9910000000000005</v>
          </cell>
          <cell r="K146">
            <v>3.5410000000000004</v>
          </cell>
          <cell r="L146">
            <v>3.1270000000000007</v>
          </cell>
          <cell r="M146">
            <v>161</v>
          </cell>
          <cell r="N146">
            <v>150</v>
          </cell>
          <cell r="O146">
            <v>2.0539999999999998</v>
          </cell>
          <cell r="P146">
            <v>1.8640000000000001</v>
          </cell>
          <cell r="Q146">
            <v>16.608622454032286</v>
          </cell>
          <cell r="R146">
            <v>15.426940580567198</v>
          </cell>
          <cell r="S146">
            <v>17139.404000000002</v>
          </cell>
          <cell r="T146">
            <v>15269.856</v>
          </cell>
        </row>
        <row r="147">
          <cell r="A147" t="str">
            <v>Netherlands Antilles</v>
          </cell>
          <cell r="B147">
            <v>530</v>
          </cell>
          <cell r="C147">
            <v>405.07799999999997</v>
          </cell>
          <cell r="D147">
            <v>464.904</v>
          </cell>
          <cell r="E147">
            <v>88.97</v>
          </cell>
          <cell r="F147">
            <v>86.075999999999993</v>
          </cell>
          <cell r="G147">
            <v>97.756</v>
          </cell>
          <cell r="H147">
            <v>96.58</v>
          </cell>
          <cell r="I147">
            <v>-12.214000000000002</v>
          </cell>
          <cell r="J147">
            <v>7.8090000000000002</v>
          </cell>
          <cell r="K147">
            <v>10.632999999999999</v>
          </cell>
          <cell r="L147">
            <v>7.8090000000000002</v>
          </cell>
          <cell r="M147">
            <v>-20.699000000000002</v>
          </cell>
          <cell r="N147">
            <v>0</v>
          </cell>
          <cell r="O147">
            <v>-22.847000000000001</v>
          </cell>
          <cell r="P147">
            <v>0</v>
          </cell>
          <cell r="Q147">
            <v>-131.89957305805137</v>
          </cell>
          <cell r="R147">
            <v>0</v>
          </cell>
          <cell r="S147">
            <v>202.88400000000001</v>
          </cell>
          <cell r="T147">
            <v>202.88400000000001</v>
          </cell>
        </row>
        <row r="148">
          <cell r="A148" t="str">
            <v>New Caledonia</v>
          </cell>
          <cell r="B148">
            <v>540</v>
          </cell>
          <cell r="C148">
            <v>13945.501</v>
          </cell>
          <cell r="D148">
            <v>18605.921000000002</v>
          </cell>
          <cell r="E148">
            <v>98.884</v>
          </cell>
          <cell r="F148">
            <v>121.559</v>
          </cell>
          <cell r="G148">
            <v>94.203000000000003</v>
          </cell>
          <cell r="H148">
            <v>115.279</v>
          </cell>
          <cell r="I148">
            <v>21.748999999999999</v>
          </cell>
          <cell r="J148">
            <v>19.059999999999999</v>
          </cell>
          <cell r="K148">
            <v>16.515999999999998</v>
          </cell>
          <cell r="L148">
            <v>14.332999999999998</v>
          </cell>
          <cell r="M148">
            <v>5.343</v>
          </cell>
          <cell r="N148">
            <v>5.343</v>
          </cell>
          <cell r="O148">
            <v>5.2329999999999997</v>
          </cell>
          <cell r="P148">
            <v>4.7270000000000003</v>
          </cell>
          <cell r="Q148">
            <v>24.407290667397564</v>
          </cell>
          <cell r="R148">
            <v>24.577947467684805</v>
          </cell>
          <cell r="S148">
            <v>382.11099999999999</v>
          </cell>
          <cell r="T148">
            <v>326.86700000000002</v>
          </cell>
        </row>
        <row r="149">
          <cell r="A149" t="str">
            <v>New Zealand</v>
          </cell>
          <cell r="B149">
            <v>554</v>
          </cell>
          <cell r="C149">
            <v>10110.516</v>
          </cell>
          <cell r="D149">
            <v>12883.935000000001</v>
          </cell>
          <cell r="E149">
            <v>1802.23</v>
          </cell>
          <cell r="F149">
            <v>1979.644</v>
          </cell>
          <cell r="G149">
            <v>1855.5309999999999</v>
          </cell>
          <cell r="H149">
            <v>2048.7399999999998</v>
          </cell>
          <cell r="I149">
            <v>8.5839999999999996</v>
          </cell>
          <cell r="J149">
            <v>10.714</v>
          </cell>
          <cell r="K149">
            <v>7.5140000000000002</v>
          </cell>
          <cell r="L149">
            <v>6.7149999999999999</v>
          </cell>
          <cell r="M149">
            <v>20</v>
          </cell>
          <cell r="N149">
            <v>78.45</v>
          </cell>
          <cell r="O149">
            <v>1.07</v>
          </cell>
          <cell r="P149">
            <v>3.9990000000000001</v>
          </cell>
          <cell r="Q149">
            <v>7.1385739984580683</v>
          </cell>
          <cell r="R149">
            <v>28.596007129864876</v>
          </cell>
          <cell r="S149">
            <v>4789.55</v>
          </cell>
          <cell r="T149">
            <v>4484.7910000000002</v>
          </cell>
        </row>
        <row r="150">
          <cell r="A150" t="str">
            <v>Nicaragua</v>
          </cell>
          <cell r="B150">
            <v>558</v>
          </cell>
          <cell r="C150">
            <v>10146.967000000001</v>
          </cell>
          <cell r="D150">
            <v>13518.416000000001</v>
          </cell>
          <cell r="E150">
            <v>2232.0590000000002</v>
          </cell>
          <cell r="F150">
            <v>2742.0459999999998</v>
          </cell>
          <cell r="G150">
            <v>2244.8330000000001</v>
          </cell>
          <cell r="H150">
            <v>2744.6390000000001</v>
          </cell>
          <cell r="I150">
            <v>20.422000000000004</v>
          </cell>
          <cell r="J150">
            <v>20.221999999999998</v>
          </cell>
          <cell r="K150">
            <v>26.993000000000002</v>
          </cell>
          <cell r="L150">
            <v>24.050999999999998</v>
          </cell>
          <cell r="M150">
            <v>-155</v>
          </cell>
          <cell r="N150">
            <v>-100</v>
          </cell>
          <cell r="O150">
            <v>-6.5709999999999997</v>
          </cell>
          <cell r="P150">
            <v>-3.8290000000000002</v>
          </cell>
          <cell r="Q150">
            <v>-20.252436825463192</v>
          </cell>
          <cell r="R150">
            <v>-13.168516184764817</v>
          </cell>
          <cell r="S150">
            <v>9370.755000000001</v>
          </cell>
          <cell r="T150">
            <v>10099.328000000001</v>
          </cell>
        </row>
        <row r="151">
          <cell r="A151" t="str">
            <v>Niger</v>
          </cell>
          <cell r="B151">
            <v>562</v>
          </cell>
          <cell r="C151">
            <v>377.78500000000003</v>
          </cell>
          <cell r="D151">
            <v>401.63</v>
          </cell>
          <cell r="E151">
            <v>5055.0150000000003</v>
          </cell>
          <cell r="F151">
            <v>7136.1090000000004</v>
          </cell>
          <cell r="G151">
            <v>4874.3410000000003</v>
          </cell>
          <cell r="H151">
            <v>6820.8680000000004</v>
          </cell>
          <cell r="I151">
            <v>34.14</v>
          </cell>
          <cell r="J151">
            <v>33.795000000000002</v>
          </cell>
          <cell r="K151">
            <v>34.249000000000002</v>
          </cell>
          <cell r="L151">
            <v>33.950000000000003</v>
          </cell>
          <cell r="M151">
            <v>-5.9420000000000002</v>
          </cell>
          <cell r="N151">
            <v>-10</v>
          </cell>
          <cell r="O151">
            <v>-0.109</v>
          </cell>
          <cell r="P151">
            <v>-0.155</v>
          </cell>
          <cell r="Q151">
            <v>-0.19153469511428581</v>
          </cell>
          <cell r="R151">
            <v>-0.28200081836637486</v>
          </cell>
          <cell r="S151">
            <v>50156.38</v>
          </cell>
          <cell r="T151">
            <v>50299.388999999996</v>
          </cell>
        </row>
        <row r="152">
          <cell r="A152" t="str">
            <v>Nigeria</v>
          </cell>
          <cell r="B152">
            <v>566</v>
          </cell>
          <cell r="C152">
            <v>51.009</v>
          </cell>
          <cell r="D152">
            <v>61.963000000000001</v>
          </cell>
          <cell r="E152">
            <v>52236.322999999997</v>
          </cell>
          <cell r="F152">
            <v>66558.346000000005</v>
          </cell>
          <cell r="G152">
            <v>51677.383999999998</v>
          </cell>
          <cell r="H152">
            <v>64971.322999999997</v>
          </cell>
          <cell r="I152">
            <v>24.726999999999997</v>
          </cell>
          <cell r="J152">
            <v>22.352</v>
          </cell>
          <cell r="K152">
            <v>24.898999999999997</v>
          </cell>
          <cell r="L152">
            <v>22.625</v>
          </cell>
          <cell r="M152">
            <v>-95.028000000000006</v>
          </cell>
          <cell r="N152">
            <v>-170</v>
          </cell>
          <cell r="O152">
            <v>-0.17199999999999999</v>
          </cell>
          <cell r="P152">
            <v>-0.27300000000000002</v>
          </cell>
          <cell r="Q152">
            <v>-0.39097387994302513</v>
          </cell>
          <cell r="R152">
            <v>-0.64955978378218104</v>
          </cell>
          <cell r="S152">
            <v>258108.43900000001</v>
          </cell>
          <cell r="T152">
            <v>259911.245</v>
          </cell>
        </row>
        <row r="153">
          <cell r="A153" t="str">
            <v>Niue</v>
          </cell>
          <cell r="B153">
            <v>570</v>
          </cell>
          <cell r="C153">
            <v>375.41200000000003</v>
          </cell>
          <cell r="D153">
            <v>395.93200000000002</v>
          </cell>
          <cell r="E153">
            <v>0.88300000000000001</v>
          </cell>
          <cell r="F153">
            <v>0.71499999999999997</v>
          </cell>
          <cell r="G153">
            <v>0.89600000000000002</v>
          </cell>
          <cell r="H153">
            <v>0.73</v>
          </cell>
          <cell r="I153">
            <v>-19.945999999999998</v>
          </cell>
          <cell r="J153">
            <v>-21.603999999999996</v>
          </cell>
          <cell r="K153">
            <v>14.4</v>
          </cell>
          <cell r="L153">
            <v>12.046000000000003</v>
          </cell>
          <cell r="M153">
            <v>-0.29099999999999998</v>
          </cell>
          <cell r="N153">
            <v>-0.25700000000000001</v>
          </cell>
          <cell r="O153">
            <v>-34.345999999999997</v>
          </cell>
          <cell r="P153">
            <v>-33.65</v>
          </cell>
          <cell r="Q153">
            <v>-177.43902439024387</v>
          </cell>
          <cell r="R153">
            <v>-191.79104477611938</v>
          </cell>
          <cell r="S153">
            <v>1.823</v>
          </cell>
          <cell r="T153">
            <v>1.823</v>
          </cell>
        </row>
        <row r="154">
          <cell r="A154" t="str">
            <v>Northern Mariana Islands</v>
          </cell>
          <cell r="B154">
            <v>580</v>
          </cell>
          <cell r="C154">
            <v>2300.0129999999999</v>
          </cell>
          <cell r="D154">
            <v>3068.7420000000002</v>
          </cell>
          <cell r="E154">
            <v>28.788</v>
          </cell>
          <cell r="F154">
            <v>40.36</v>
          </cell>
          <cell r="G154">
            <v>28.343</v>
          </cell>
          <cell r="H154">
            <v>40.441000000000003</v>
          </cell>
          <cell r="I154">
            <v>39.728999999999999</v>
          </cell>
          <cell r="J154">
            <v>29.414999999999999</v>
          </cell>
          <cell r="K154">
            <v>16.081</v>
          </cell>
          <cell r="L154">
            <v>13.472000000000001</v>
          </cell>
          <cell r="M154">
            <v>7.5</v>
          </cell>
          <cell r="N154">
            <v>6</v>
          </cell>
          <cell r="O154">
            <v>23.648</v>
          </cell>
          <cell r="P154">
            <v>15.943</v>
          </cell>
          <cell r="Q154">
            <v>121.5953307392996</v>
          </cell>
          <cell r="R154">
            <v>93.428838368109624</v>
          </cell>
          <cell r="S154">
            <v>130.47199999999998</v>
          </cell>
          <cell r="T154">
            <v>96.711999999999989</v>
          </cell>
        </row>
        <row r="155">
          <cell r="A155" t="str">
            <v>Norway</v>
          </cell>
          <cell r="B155">
            <v>578</v>
          </cell>
          <cell r="C155">
            <v>1124.598</v>
          </cell>
          <cell r="D155">
            <v>1244.663</v>
          </cell>
          <cell r="E155">
            <v>2155.5010000000002</v>
          </cell>
          <cell r="F155">
            <v>2294.7570000000001</v>
          </cell>
          <cell r="G155">
            <v>2203.683</v>
          </cell>
          <cell r="H155">
            <v>2325.518</v>
          </cell>
          <cell r="I155">
            <v>6.4550000000000001</v>
          </cell>
          <cell r="J155">
            <v>5.1789999999999985</v>
          </cell>
          <cell r="K155">
            <v>3.4129999999999985</v>
          </cell>
          <cell r="L155">
            <v>2.6169999999999991</v>
          </cell>
          <cell r="M155">
            <v>67.382000000000005</v>
          </cell>
          <cell r="N155">
            <v>58.43</v>
          </cell>
          <cell r="O155">
            <v>3.0419999999999998</v>
          </cell>
          <cell r="P155">
            <v>2.5619999999999998</v>
          </cell>
          <cell r="Q155">
            <v>22.77673178135257</v>
          </cell>
          <cell r="R155">
            <v>20.95722473691384</v>
          </cell>
          <cell r="S155">
            <v>5434.89</v>
          </cell>
          <cell r="T155">
            <v>4691.9880000000003</v>
          </cell>
        </row>
        <row r="156">
          <cell r="A156" t="str">
            <v>Occupied Palestinian Territory</v>
          </cell>
          <cell r="B156">
            <v>275</v>
          </cell>
          <cell r="C156">
            <v>92523.256999999998</v>
          </cell>
          <cell r="D156">
            <v>107029.36</v>
          </cell>
          <cell r="E156">
            <v>1325.566</v>
          </cell>
          <cell r="F156">
            <v>1883.338</v>
          </cell>
          <cell r="G156">
            <v>1284.423</v>
          </cell>
          <cell r="H156">
            <v>1818.874</v>
          </cell>
          <cell r="I156">
            <v>37.504000000000005</v>
          </cell>
          <cell r="J156">
            <v>32.231999999999999</v>
          </cell>
          <cell r="K156">
            <v>36.770000000000003</v>
          </cell>
          <cell r="L156">
            <v>34.567</v>
          </cell>
          <cell r="M156">
            <v>10.574999999999999</v>
          </cell>
          <cell r="N156">
            <v>-40</v>
          </cell>
          <cell r="O156">
            <v>0.73399999999999999</v>
          </cell>
          <cell r="P156">
            <v>-2.335</v>
          </cell>
          <cell r="Q156">
            <v>1.7558482615026738</v>
          </cell>
          <cell r="R156">
            <v>-6.0175441499692361</v>
          </cell>
          <cell r="S156">
            <v>10058.339</v>
          </cell>
          <cell r="T156">
            <v>10203.541000000001</v>
          </cell>
        </row>
        <row r="157">
          <cell r="A157" t="str">
            <v>Oman</v>
          </cell>
          <cell r="B157">
            <v>512</v>
          </cell>
          <cell r="C157">
            <v>107.21299999999999</v>
          </cell>
          <cell r="D157">
            <v>110.48699999999999</v>
          </cell>
          <cell r="E157">
            <v>1284.6590000000001</v>
          </cell>
          <cell r="F157">
            <v>1442.85</v>
          </cell>
          <cell r="G157">
            <v>892.60500000000002</v>
          </cell>
          <cell r="H157">
            <v>1124.1310000000001</v>
          </cell>
          <cell r="I157">
            <v>22.923999999999999</v>
          </cell>
          <cell r="J157">
            <v>9.9809999999999999</v>
          </cell>
          <cell r="K157">
            <v>26.387999999999998</v>
          </cell>
          <cell r="L157">
            <v>22.757999999999999</v>
          </cell>
          <cell r="M157">
            <v>-40</v>
          </cell>
          <cell r="N157">
            <v>-160</v>
          </cell>
          <cell r="O157">
            <v>-3.464</v>
          </cell>
          <cell r="P157">
            <v>-12.776999999999999</v>
          </cell>
          <cell r="Q157">
            <v>-11.745498537685432</v>
          </cell>
          <cell r="R157">
            <v>-49.931967694016905</v>
          </cell>
          <cell r="S157">
            <v>4957.7270000000008</v>
          </cell>
          <cell r="T157">
            <v>4882.6279999999997</v>
          </cell>
        </row>
        <row r="158">
          <cell r="A158" t="str">
            <v>Pakistan</v>
          </cell>
          <cell r="B158">
            <v>586</v>
          </cell>
          <cell r="C158">
            <v>31.6</v>
          </cell>
          <cell r="D158">
            <v>35.253</v>
          </cell>
          <cell r="E158">
            <v>64961.906999999999</v>
          </cell>
          <cell r="F158">
            <v>81282.570000000007</v>
          </cell>
          <cell r="G158">
            <v>61113.16</v>
          </cell>
          <cell r="H158">
            <v>76652.505000000005</v>
          </cell>
          <cell r="I158">
            <v>24.669</v>
          </cell>
          <cell r="J158">
            <v>20.343</v>
          </cell>
          <cell r="K158">
            <v>24.728999999999999</v>
          </cell>
          <cell r="L158">
            <v>22.751999999999999</v>
          </cell>
          <cell r="M158">
            <v>-40.5</v>
          </cell>
          <cell r="N158">
            <v>-1810</v>
          </cell>
          <cell r="O158">
            <v>-0.06</v>
          </cell>
          <cell r="P158">
            <v>-2.4089999999999998</v>
          </cell>
          <cell r="Q158">
            <v>-0.17786720618840857</v>
          </cell>
          <cell r="R158">
            <v>-7.7561779886010749</v>
          </cell>
          <cell r="S158">
            <v>304700.397</v>
          </cell>
          <cell r="T158">
            <v>315504.37599999999</v>
          </cell>
        </row>
        <row r="159">
          <cell r="A159" t="str">
            <v>Palau</v>
          </cell>
          <cell r="B159">
            <v>585</v>
          </cell>
          <cell r="C159">
            <v>10.233000000000001</v>
          </cell>
          <cell r="D159">
            <v>4.5</v>
          </cell>
          <cell r="E159">
            <v>9.4489999999999998</v>
          </cell>
          <cell r="F159">
            <v>10.866</v>
          </cell>
          <cell r="G159">
            <v>7.9489999999999998</v>
          </cell>
          <cell r="H159">
            <v>9.0830000000000002</v>
          </cell>
          <cell r="I159">
            <v>20.669</v>
          </cell>
          <cell r="J159">
            <v>6.6769999999999996</v>
          </cell>
          <cell r="K159">
            <v>6.6280000000000001</v>
          </cell>
          <cell r="L159">
            <v>6.6769999999999996</v>
          </cell>
          <cell r="M159">
            <v>1.288</v>
          </cell>
          <cell r="N159">
            <v>0</v>
          </cell>
          <cell r="O159">
            <v>14.041</v>
          </cell>
          <cell r="P159">
            <v>0</v>
          </cell>
          <cell r="Q159">
            <v>95.548961424332347</v>
          </cell>
          <cell r="R159">
            <v>0</v>
          </cell>
          <cell r="S159">
            <v>21.286000000000001</v>
          </cell>
          <cell r="T159">
            <v>21.286000000000001</v>
          </cell>
        </row>
        <row r="160">
          <cell r="A160" t="str">
            <v>Panama</v>
          </cell>
          <cell r="B160">
            <v>591</v>
          </cell>
          <cell r="C160">
            <v>27003.743999999999</v>
          </cell>
          <cell r="D160">
            <v>31478.46</v>
          </cell>
          <cell r="E160">
            <v>1349.1479999999999</v>
          </cell>
          <cell r="F160">
            <v>1630.107</v>
          </cell>
          <cell r="G160">
            <v>1321.2639999999999</v>
          </cell>
          <cell r="H160">
            <v>1601.395</v>
          </cell>
          <cell r="I160">
            <v>19.893999999999998</v>
          </cell>
          <cell r="J160">
            <v>18.219000000000001</v>
          </cell>
          <cell r="K160">
            <v>19.110999999999997</v>
          </cell>
          <cell r="L160">
            <v>17.701000000000001</v>
          </cell>
          <cell r="M160">
            <v>11</v>
          </cell>
          <cell r="N160">
            <v>8</v>
          </cell>
          <cell r="O160">
            <v>0.78300000000000003</v>
          </cell>
          <cell r="P160">
            <v>0.51800000000000002</v>
          </cell>
          <cell r="Q160">
            <v>3.2451440843973471</v>
          </cell>
          <cell r="R160">
            <v>2.28219969817909</v>
          </cell>
          <cell r="S160">
            <v>5092.6849999999995</v>
          </cell>
          <cell r="T160">
            <v>4976.6720000000005</v>
          </cell>
        </row>
        <row r="161">
          <cell r="A161" t="str">
            <v>Papua New Guinea</v>
          </cell>
          <cell r="B161">
            <v>598</v>
          </cell>
          <cell r="C161">
            <v>15853.741</v>
          </cell>
          <cell r="D161">
            <v>19792.294999999998</v>
          </cell>
          <cell r="E161">
            <v>2435.3789999999999</v>
          </cell>
          <cell r="F161">
            <v>3034.7440000000001</v>
          </cell>
          <cell r="G161">
            <v>2251.857</v>
          </cell>
          <cell r="H161">
            <v>2852.3939999999998</v>
          </cell>
          <cell r="I161">
            <v>24.499000000000002</v>
          </cell>
          <cell r="J161">
            <v>21.036000000000001</v>
          </cell>
          <cell r="K161">
            <v>24.499000000000002</v>
          </cell>
          <cell r="L161">
            <v>21.036000000000001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10618.960999999999</v>
          </cell>
          <cell r="T161">
            <v>10618.960999999999</v>
          </cell>
        </row>
        <row r="162">
          <cell r="A162" t="str">
            <v>Paraguay</v>
          </cell>
          <cell r="B162">
            <v>600</v>
          </cell>
          <cell r="C162">
            <v>1651.547</v>
          </cell>
          <cell r="D162">
            <v>2031.252</v>
          </cell>
          <cell r="E162">
            <v>2432.9169999999999</v>
          </cell>
          <cell r="F162">
            <v>3102.1379999999999</v>
          </cell>
          <cell r="G162">
            <v>2395.5889999999999</v>
          </cell>
          <cell r="H162">
            <v>3056.1210000000001</v>
          </cell>
          <cell r="I162">
            <v>24.920999999999999</v>
          </cell>
          <cell r="J162">
            <v>23.67</v>
          </cell>
          <cell r="K162">
            <v>25.891999999999999</v>
          </cell>
          <cell r="L162">
            <v>24.53</v>
          </cell>
          <cell r="M162">
            <v>-25</v>
          </cell>
          <cell r="N162">
            <v>-25</v>
          </cell>
          <cell r="O162">
            <v>-0.97099999999999997</v>
          </cell>
          <cell r="P162">
            <v>-0.86</v>
          </cell>
          <cell r="Q162">
            <v>-3.1033926288218279</v>
          </cell>
          <cell r="R162">
            <v>-2.9073824254547147</v>
          </cell>
          <cell r="S162">
            <v>12094.887000000001</v>
          </cell>
          <cell r="T162">
            <v>12375.038</v>
          </cell>
        </row>
        <row r="163">
          <cell r="A163" t="str">
            <v>Peru</v>
          </cell>
          <cell r="B163">
            <v>604</v>
          </cell>
          <cell r="C163">
            <v>10.762</v>
          </cell>
          <cell r="D163">
            <v>13.635</v>
          </cell>
          <cell r="E163">
            <v>11995.307000000001</v>
          </cell>
          <cell r="F163">
            <v>14059.816000000001</v>
          </cell>
          <cell r="G163">
            <v>11841.556</v>
          </cell>
          <cell r="H163">
            <v>13908.428</v>
          </cell>
          <cell r="I163">
            <v>16.994</v>
          </cell>
          <cell r="J163">
            <v>14.956000000000003</v>
          </cell>
          <cell r="K163">
            <v>19.806000000000001</v>
          </cell>
          <cell r="L163">
            <v>17.182000000000002</v>
          </cell>
          <cell r="M163">
            <v>-350</v>
          </cell>
          <cell r="N163">
            <v>-300</v>
          </cell>
          <cell r="O163">
            <v>-2.8119999999999998</v>
          </cell>
          <cell r="P163">
            <v>-2.226</v>
          </cell>
          <cell r="Q163">
            <v>-10.735527818359778</v>
          </cell>
          <cell r="R163">
            <v>-9.5598912849163078</v>
          </cell>
          <cell r="S163">
            <v>42551.872000000003</v>
          </cell>
          <cell r="T163">
            <v>44032.516000000003</v>
          </cell>
        </row>
        <row r="164">
          <cell r="A164" t="str">
            <v>Philippines</v>
          </cell>
          <cell r="B164">
            <v>608</v>
          </cell>
          <cell r="C164">
            <v>15458.9</v>
          </cell>
          <cell r="D164">
            <v>16299.172999999999</v>
          </cell>
          <cell r="E164">
            <v>34443.071000000004</v>
          </cell>
          <cell r="F164">
            <v>41813.673000000003</v>
          </cell>
          <cell r="G164">
            <v>33952.764000000003</v>
          </cell>
          <cell r="H164">
            <v>41240.805</v>
          </cell>
          <cell r="I164">
            <v>20.45</v>
          </cell>
          <cell r="J164">
            <v>18.356000000000002</v>
          </cell>
          <cell r="K164">
            <v>22.947000000000003</v>
          </cell>
          <cell r="L164">
            <v>20.623000000000001</v>
          </cell>
          <cell r="M164">
            <v>-900</v>
          </cell>
          <cell r="N164">
            <v>-900</v>
          </cell>
          <cell r="O164">
            <v>-2.4969999999999999</v>
          </cell>
          <cell r="P164">
            <v>-2.2669999999999999</v>
          </cell>
          <cell r="Q164">
            <v>-8.7824405055524046</v>
          </cell>
          <cell r="R164">
            <v>-8.8273996206964469</v>
          </cell>
          <cell r="S164">
            <v>127068.217</v>
          </cell>
          <cell r="T164">
            <v>137837.11300000001</v>
          </cell>
        </row>
        <row r="165">
          <cell r="A165" t="str">
            <v>Pitcairn</v>
          </cell>
          <cell r="B165">
            <v>612</v>
          </cell>
          <cell r="C165">
            <v>186.726</v>
          </cell>
          <cell r="D165">
            <v>182.65600000000001</v>
          </cell>
          <cell r="E165">
            <v>3.3000000000000002E-2</v>
          </cell>
          <cell r="F165">
            <v>3.4000000000000002E-2</v>
          </cell>
          <cell r="G165">
            <v>3.4000000000000002E-2</v>
          </cell>
          <cell r="H165">
            <v>3.3000000000000002E-2</v>
          </cell>
          <cell r="I165">
            <v>2.9630000000000001</v>
          </cell>
          <cell r="J165">
            <v>-2.963000000000001</v>
          </cell>
          <cell r="K165">
            <v>2.9630000000000001</v>
          </cell>
          <cell r="L165">
            <v>-2.963000000000001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5.7999999999999996E-2</v>
          </cell>
          <cell r="T165">
            <v>5.7999999999999996E-2</v>
          </cell>
        </row>
        <row r="166">
          <cell r="A166" t="str">
            <v>Poland</v>
          </cell>
          <cell r="B166">
            <v>616</v>
          </cell>
          <cell r="C166">
            <v>193.08699999999999</v>
          </cell>
          <cell r="D166">
            <v>236.83799999999999</v>
          </cell>
          <cell r="E166">
            <v>18782.035</v>
          </cell>
          <cell r="F166">
            <v>18685.071</v>
          </cell>
          <cell r="G166">
            <v>19812.963</v>
          </cell>
          <cell r="H166">
            <v>19844.491000000002</v>
          </cell>
          <cell r="I166">
            <v>0.28099999999999969</v>
          </cell>
          <cell r="J166">
            <v>-0.62099999999999955</v>
          </cell>
          <cell r="K166">
            <v>0.64799999999999969</v>
          </cell>
          <cell r="L166">
            <v>-0.20599999999999952</v>
          </cell>
          <cell r="M166">
            <v>-70.778999999999996</v>
          </cell>
          <cell r="N166">
            <v>-80</v>
          </cell>
          <cell r="O166">
            <v>-0.36699999999999999</v>
          </cell>
          <cell r="P166">
            <v>-0.41499999999999998</v>
          </cell>
          <cell r="Q166">
            <v>-3.4623354413537242</v>
          </cell>
          <cell r="R166">
            <v>-4.3693140886894302</v>
          </cell>
          <cell r="S166">
            <v>31916.11</v>
          </cell>
          <cell r="T166">
            <v>32560.03</v>
          </cell>
        </row>
        <row r="167">
          <cell r="A167" t="str">
            <v>Portugal</v>
          </cell>
          <cell r="B167">
            <v>620</v>
          </cell>
          <cell r="C167">
            <v>3657.761</v>
          </cell>
          <cell r="D167">
            <v>4028.384</v>
          </cell>
          <cell r="E167">
            <v>4833.5590000000002</v>
          </cell>
          <cell r="F167">
            <v>5072.3090000000002</v>
          </cell>
          <cell r="G167">
            <v>5196.8270000000002</v>
          </cell>
          <cell r="H167">
            <v>5422.1930000000002</v>
          </cell>
          <cell r="I167">
            <v>3.8450000000000002</v>
          </cell>
          <cell r="J167">
            <v>5.2009999999999996</v>
          </cell>
          <cell r="K167">
            <v>0.38899999999999935</v>
          </cell>
          <cell r="L167">
            <v>0.375</v>
          </cell>
          <cell r="M167">
            <v>174.999</v>
          </cell>
          <cell r="N167">
            <v>250</v>
          </cell>
          <cell r="O167">
            <v>3.456</v>
          </cell>
          <cell r="P167">
            <v>4.8259999999999996</v>
          </cell>
          <cell r="Q167">
            <v>30.975247980402287</v>
          </cell>
          <cell r="R167">
            <v>44.255698806335289</v>
          </cell>
          <cell r="S167">
            <v>10722.573</v>
          </cell>
          <cell r="T167">
            <v>9194.7150000000001</v>
          </cell>
        </row>
        <row r="168">
          <cell r="A168" t="str">
            <v>Puerto Rico</v>
          </cell>
          <cell r="B168">
            <v>630</v>
          </cell>
          <cell r="C168">
            <v>4476.8919999999998</v>
          </cell>
          <cell r="D168">
            <v>5486.6849999999995</v>
          </cell>
          <cell r="E168">
            <v>1784.348</v>
          </cell>
          <cell r="F168">
            <v>1897.71</v>
          </cell>
          <cell r="G168">
            <v>1912.105</v>
          </cell>
          <cell r="H168">
            <v>2056.8739999999998</v>
          </cell>
          <cell r="I168">
            <v>7.3539999999999992</v>
          </cell>
          <cell r="J168">
            <v>6.1459999999999999</v>
          </cell>
          <cell r="K168">
            <v>7.4289999999999994</v>
          </cell>
          <cell r="L168">
            <v>6.3</v>
          </cell>
          <cell r="M168">
            <v>-1.4159999999999999</v>
          </cell>
          <cell r="N168">
            <v>-3</v>
          </cell>
          <cell r="O168">
            <v>-7.4999999999999997E-2</v>
          </cell>
          <cell r="P168">
            <v>-0.154</v>
          </cell>
          <cell r="Q168">
            <v>-0.48982133282598544</v>
          </cell>
          <cell r="R168">
            <v>-1.071065174315857</v>
          </cell>
          <cell r="S168">
            <v>4404.5749999999998</v>
          </cell>
          <cell r="T168">
            <v>4441.7049999999999</v>
          </cell>
        </row>
        <row r="169">
          <cell r="A169" t="str">
            <v>Qatar</v>
          </cell>
          <cell r="B169">
            <v>634</v>
          </cell>
          <cell r="C169">
            <v>9929.3559999999998</v>
          </cell>
          <cell r="D169">
            <v>13956.977000000001</v>
          </cell>
          <cell r="E169">
            <v>346.28</v>
          </cell>
          <cell r="F169">
            <v>547.46699999999998</v>
          </cell>
          <cell r="G169">
            <v>179.45599999999999</v>
          </cell>
          <cell r="H169">
            <v>265.375</v>
          </cell>
          <cell r="I169">
            <v>28.48</v>
          </cell>
          <cell r="J169">
            <v>58.204000000000001</v>
          </cell>
          <cell r="K169">
            <v>17.88</v>
          </cell>
          <cell r="L169">
            <v>15.926000000000002</v>
          </cell>
          <cell r="M169">
            <v>30</v>
          </cell>
          <cell r="N169">
            <v>150</v>
          </cell>
          <cell r="O169">
            <v>10.6</v>
          </cell>
          <cell r="P169">
            <v>42.277999999999999</v>
          </cell>
          <cell r="Q169">
            <v>49.975012493753127</v>
          </cell>
          <cell r="R169">
            <v>221.42509189141316</v>
          </cell>
          <cell r="S169">
            <v>1329.84</v>
          </cell>
          <cell r="T169">
            <v>1025.768</v>
          </cell>
        </row>
        <row r="170">
          <cell r="A170" t="str">
            <v>Republic of Korea</v>
          </cell>
          <cell r="B170">
            <v>410</v>
          </cell>
          <cell r="C170">
            <v>103913.70699999999</v>
          </cell>
          <cell r="D170">
            <v>131529.66899999999</v>
          </cell>
          <cell r="E170">
            <v>22668.025000000001</v>
          </cell>
          <cell r="F170">
            <v>23972.705999999998</v>
          </cell>
          <cell r="G170">
            <v>22338.581999999999</v>
          </cell>
          <cell r="H170">
            <v>23844.23</v>
          </cell>
          <cell r="I170">
            <v>7.7249999999999996</v>
          </cell>
          <cell r="J170">
            <v>4.3880000000000008</v>
          </cell>
          <cell r="K170">
            <v>8.0739999999999998</v>
          </cell>
          <cell r="L170">
            <v>4.7260000000000009</v>
          </cell>
          <cell r="M170">
            <v>-80</v>
          </cell>
          <cell r="N170">
            <v>-80</v>
          </cell>
          <cell r="O170">
            <v>-0.34899999999999998</v>
          </cell>
          <cell r="P170">
            <v>-0.33800000000000002</v>
          </cell>
          <cell r="Q170">
            <v>-2.5762555542459586</v>
          </cell>
          <cell r="R170">
            <v>-3.2963252154457559</v>
          </cell>
          <cell r="S170">
            <v>44628.587</v>
          </cell>
          <cell r="T170">
            <v>44943.614999999998</v>
          </cell>
        </row>
        <row r="171">
          <cell r="A171" t="str">
            <v>Republic of Moldova</v>
          </cell>
          <cell r="B171">
            <v>498</v>
          </cell>
          <cell r="C171">
            <v>1.7789999999999999</v>
          </cell>
          <cell r="D171">
            <v>1.4450000000000001</v>
          </cell>
          <cell r="E171">
            <v>2072.6</v>
          </cell>
          <cell r="F171">
            <v>2010.481</v>
          </cell>
          <cell r="G171">
            <v>2266.15</v>
          </cell>
          <cell r="H171">
            <v>2195.2660000000001</v>
          </cell>
          <cell r="I171">
            <v>-2.9770000000000008</v>
          </cell>
          <cell r="J171">
            <v>-3.25</v>
          </cell>
          <cell r="K171">
            <v>0.27399999999999913</v>
          </cell>
          <cell r="L171">
            <v>-1.3629999999999995</v>
          </cell>
          <cell r="M171">
            <v>-70</v>
          </cell>
          <cell r="N171">
            <v>-40</v>
          </cell>
          <cell r="O171">
            <v>-3.2509999999999999</v>
          </cell>
          <cell r="P171">
            <v>-1.887</v>
          </cell>
          <cell r="Q171">
            <v>-27.117383404936142</v>
          </cell>
          <cell r="R171">
            <v>-18.675705708229451</v>
          </cell>
          <cell r="S171">
            <v>3312.0140000000001</v>
          </cell>
          <cell r="T171">
            <v>3637.518</v>
          </cell>
        </row>
        <row r="172">
          <cell r="A172" t="str">
            <v>Réunion</v>
          </cell>
          <cell r="B172">
            <v>638</v>
          </cell>
          <cell r="C172">
            <v>57.131</v>
          </cell>
          <cell r="D172">
            <v>80.801000000000002</v>
          </cell>
          <cell r="E172">
            <v>325.04899999999998</v>
          </cell>
          <cell r="F172">
            <v>383.54500000000002</v>
          </cell>
          <cell r="G172">
            <v>338.83699999999999</v>
          </cell>
          <cell r="H172">
            <v>401.59399999999999</v>
          </cell>
          <cell r="I172">
            <v>17.443999999999999</v>
          </cell>
          <cell r="J172">
            <v>16.086000000000002</v>
          </cell>
          <cell r="K172">
            <v>14.994999999999999</v>
          </cell>
          <cell r="L172">
            <v>14.761000000000001</v>
          </cell>
          <cell r="M172">
            <v>8.5</v>
          </cell>
          <cell r="N172">
            <v>5</v>
          </cell>
          <cell r="O172">
            <v>2.4489999999999998</v>
          </cell>
          <cell r="P172">
            <v>1.325</v>
          </cell>
          <cell r="Q172">
            <v>12.121730697926472</v>
          </cell>
          <cell r="R172">
            <v>6.5820651887736297</v>
          </cell>
          <cell r="S172">
            <v>1091.825</v>
          </cell>
          <cell r="T172">
            <v>1091.825</v>
          </cell>
        </row>
        <row r="173">
          <cell r="A173" t="str">
            <v>Romania</v>
          </cell>
          <cell r="B173">
            <v>642</v>
          </cell>
          <cell r="C173">
            <v>4359.1840000000002</v>
          </cell>
          <cell r="D173">
            <v>4620.2749999999996</v>
          </cell>
          <cell r="E173">
            <v>11123.977999999999</v>
          </cell>
          <cell r="F173">
            <v>10581.022999999999</v>
          </cell>
          <cell r="G173">
            <v>11556.974</v>
          </cell>
          <cell r="H173">
            <v>11130.449000000001</v>
          </cell>
          <cell r="I173">
            <v>-5.0359999999999996</v>
          </cell>
          <cell r="J173">
            <v>-3.7010000000000005</v>
          </cell>
          <cell r="K173">
            <v>-1.9109999999999996</v>
          </cell>
          <cell r="L173">
            <v>-2.3320000000000007</v>
          </cell>
          <cell r="M173">
            <v>-350</v>
          </cell>
          <cell r="N173">
            <v>-150</v>
          </cell>
          <cell r="O173">
            <v>-3.125</v>
          </cell>
          <cell r="P173">
            <v>-1.369</v>
          </cell>
          <cell r="Q173">
            <v>-30.605053156605177</v>
          </cell>
          <cell r="R173">
            <v>-13.884530688978183</v>
          </cell>
          <cell r="S173">
            <v>16757.442999999999</v>
          </cell>
          <cell r="T173">
            <v>17126.641000000003</v>
          </cell>
        </row>
        <row r="174">
          <cell r="A174" t="str">
            <v>Russian Federation</v>
          </cell>
          <cell r="B174">
            <v>643</v>
          </cell>
          <cell r="C174">
            <v>17.398</v>
          </cell>
          <cell r="D174">
            <v>19.948999999999998</v>
          </cell>
          <cell r="E174">
            <v>69582.600000000006</v>
          </cell>
          <cell r="F174">
            <v>66447.373000000007</v>
          </cell>
          <cell r="G174">
            <v>78606.599000000002</v>
          </cell>
          <cell r="H174">
            <v>76754.198999999993</v>
          </cell>
          <cell r="I174">
            <v>-2.2110000000000007</v>
          </cell>
          <cell r="J174">
            <v>-4.636000000000001</v>
          </cell>
          <cell r="K174">
            <v>-5.3320000000000007</v>
          </cell>
          <cell r="L174">
            <v>-5.1880000000000006</v>
          </cell>
          <cell r="M174">
            <v>2300</v>
          </cell>
          <cell r="N174">
            <v>400</v>
          </cell>
          <cell r="O174">
            <v>3.121</v>
          </cell>
          <cell r="P174">
            <v>0.55200000000000005</v>
          </cell>
          <cell r="Q174">
            <v>35.102585015408508</v>
          </cell>
          <cell r="R174">
            <v>5.4497991749004049</v>
          </cell>
          <cell r="S174">
            <v>111752.16899999999</v>
          </cell>
          <cell r="T174">
            <v>108870.05799999999</v>
          </cell>
        </row>
        <row r="175">
          <cell r="A175" t="str">
            <v>Rwanda</v>
          </cell>
          <cell r="B175">
            <v>646</v>
          </cell>
          <cell r="C175">
            <v>2670.4119999999998</v>
          </cell>
          <cell r="D175">
            <v>3231.502</v>
          </cell>
          <cell r="E175">
            <v>2636.0430000000001</v>
          </cell>
          <cell r="F175">
            <v>4379.4859999999999</v>
          </cell>
          <cell r="G175">
            <v>2803.0360000000001</v>
          </cell>
          <cell r="H175">
            <v>4658.2039999999997</v>
          </cell>
          <cell r="I175">
            <v>76.813000000000002</v>
          </cell>
          <cell r="J175">
            <v>23.753</v>
          </cell>
          <cell r="K175">
            <v>18.076000000000001</v>
          </cell>
          <cell r="L175">
            <v>22.698</v>
          </cell>
          <cell r="M175">
            <v>1977.0170000000001</v>
          </cell>
          <cell r="N175">
            <v>45</v>
          </cell>
          <cell r="O175">
            <v>58.737000000000002</v>
          </cell>
          <cell r="P175">
            <v>1.0549999999999999</v>
          </cell>
          <cell r="Q175">
            <v>141.73170712473501</v>
          </cell>
          <cell r="R175">
            <v>2.5735374015050048</v>
          </cell>
          <cell r="S175">
            <v>18153.067999999999</v>
          </cell>
          <cell r="T175">
            <v>18401.142</v>
          </cell>
        </row>
        <row r="176">
          <cell r="A176" t="str">
            <v>Saint Helena</v>
          </cell>
          <cell r="B176">
            <v>654</v>
          </cell>
          <cell r="C176">
            <v>4687.2359999999999</v>
          </cell>
          <cell r="D176">
            <v>5887.1379999999999</v>
          </cell>
          <cell r="E176">
            <v>2.585</v>
          </cell>
          <cell r="F176">
            <v>2.444</v>
          </cell>
          <cell r="G176">
            <v>2.6059999999999999</v>
          </cell>
          <cell r="H176">
            <v>2.4740000000000002</v>
          </cell>
          <cell r="I176">
            <v>-10.233999999999998</v>
          </cell>
          <cell r="J176">
            <v>-0.56899999999999906</v>
          </cell>
          <cell r="K176">
            <v>16.003</v>
          </cell>
          <cell r="L176">
            <v>14.335000000000001</v>
          </cell>
          <cell r="M176">
            <v>-0.66400000000000003</v>
          </cell>
          <cell r="N176">
            <v>-0.36699999999999999</v>
          </cell>
          <cell r="O176">
            <v>-26.236999999999998</v>
          </cell>
          <cell r="P176">
            <v>-14.904</v>
          </cell>
          <cell r="Q176">
            <v>-128.68217054263567</v>
          </cell>
          <cell r="R176">
            <v>-79.265658747300222</v>
          </cell>
          <cell r="S176">
            <v>6.4890000000000008</v>
          </cell>
          <cell r="T176">
            <v>6.4890000000000008</v>
          </cell>
        </row>
        <row r="177">
          <cell r="A177" t="str">
            <v>Saint Kitts and Nevis</v>
          </cell>
          <cell r="B177">
            <v>659</v>
          </cell>
          <cell r="C177">
            <v>4828.5059999999994</v>
          </cell>
          <cell r="D177">
            <v>6158.259</v>
          </cell>
          <cell r="E177">
            <v>19.922000000000001</v>
          </cell>
          <cell r="F177">
            <v>21.39</v>
          </cell>
          <cell r="G177">
            <v>20.349</v>
          </cell>
          <cell r="H177">
            <v>21.306000000000001</v>
          </cell>
          <cell r="I177">
            <v>0.91600000000000215</v>
          </cell>
          <cell r="J177">
            <v>10.776</v>
          </cell>
          <cell r="K177">
            <v>11.619000000000002</v>
          </cell>
          <cell r="L177">
            <v>10.776</v>
          </cell>
          <cell r="M177">
            <v>-2.16</v>
          </cell>
          <cell r="N177">
            <v>0</v>
          </cell>
          <cell r="O177">
            <v>-10.702999999999999</v>
          </cell>
          <cell r="P177">
            <v>0</v>
          </cell>
          <cell r="Q177">
            <v>-50.431940228811577</v>
          </cell>
          <cell r="R177">
            <v>0</v>
          </cell>
          <cell r="S177">
            <v>58.79</v>
          </cell>
          <cell r="T177">
            <v>58.79</v>
          </cell>
        </row>
        <row r="178">
          <cell r="A178" t="str">
            <v>Saint Lucia</v>
          </cell>
          <cell r="B178">
            <v>662</v>
          </cell>
          <cell r="C178">
            <v>23836.863000000001</v>
          </cell>
          <cell r="D178">
            <v>27968.243999999999</v>
          </cell>
          <cell r="E178">
            <v>72.667000000000002</v>
          </cell>
          <cell r="F178">
            <v>79.213999999999999</v>
          </cell>
          <cell r="G178">
            <v>75.191999999999993</v>
          </cell>
          <cell r="H178">
            <v>81.551000000000002</v>
          </cell>
          <cell r="I178">
            <v>8.7159999999999993</v>
          </cell>
          <cell r="J178">
            <v>8.0179999999999989</v>
          </cell>
          <cell r="K178">
            <v>12.244999999999999</v>
          </cell>
          <cell r="L178">
            <v>11.824999999999999</v>
          </cell>
          <cell r="M178">
            <v>-2.6669999999999998</v>
          </cell>
          <cell r="N178">
            <v>-3</v>
          </cell>
          <cell r="O178">
            <v>-3.5289999999999999</v>
          </cell>
          <cell r="P178">
            <v>-3.8069999999999999</v>
          </cell>
          <cell r="Q178">
            <v>-18.358917877056516</v>
          </cell>
          <cell r="R178">
            <v>-20.248380129589634</v>
          </cell>
          <cell r="S178">
            <v>188.37900000000002</v>
          </cell>
          <cell r="T178">
            <v>223.88200000000001</v>
          </cell>
        </row>
        <row r="179">
          <cell r="A179" t="str">
            <v>Saint Vincent and the Grenadines</v>
          </cell>
          <cell r="B179">
            <v>670</v>
          </cell>
          <cell r="C179">
            <v>6.7000000000000004E-2</v>
          </cell>
          <cell r="D179">
            <v>6.7000000000000004E-2</v>
          </cell>
          <cell r="E179">
            <v>56.25</v>
          </cell>
          <cell r="F179">
            <v>59.265999999999998</v>
          </cell>
          <cell r="G179">
            <v>56.728000000000002</v>
          </cell>
          <cell r="H179">
            <v>59.784999999999997</v>
          </cell>
          <cell r="I179">
            <v>5.1919999999999984</v>
          </cell>
          <cell r="J179">
            <v>5.28</v>
          </cell>
          <cell r="K179">
            <v>13.927999999999999</v>
          </cell>
          <cell r="L179">
            <v>13.791</v>
          </cell>
          <cell r="M179">
            <v>-5</v>
          </cell>
          <cell r="N179">
            <v>-5</v>
          </cell>
          <cell r="O179">
            <v>-8.7360000000000007</v>
          </cell>
          <cell r="P179">
            <v>-8.5109999999999992</v>
          </cell>
          <cell r="Q179">
            <v>-42.087542087542083</v>
          </cell>
          <cell r="R179">
            <v>-41.428453061562678</v>
          </cell>
          <cell r="S179">
            <v>105.44499999999999</v>
          </cell>
          <cell r="T179">
            <v>172.48</v>
          </cell>
        </row>
        <row r="180">
          <cell r="A180" t="str">
            <v>Saint-Pierre-et-Miquelon</v>
          </cell>
          <cell r="B180">
            <v>666</v>
          </cell>
          <cell r="C180">
            <v>38594.998</v>
          </cell>
          <cell r="D180">
            <v>38529.562000000005</v>
          </cell>
          <cell r="E180">
            <v>2.8679999999999999</v>
          </cell>
          <cell r="F180">
            <v>2.8239999999999998</v>
          </cell>
          <cell r="G180">
            <v>2.952</v>
          </cell>
          <cell r="H180">
            <v>2.9449999999999998</v>
          </cell>
          <cell r="I180">
            <v>-1.1720000000000006</v>
          </cell>
          <cell r="J180">
            <v>-0.58799999999999919</v>
          </cell>
          <cell r="K180">
            <v>16.335999999999999</v>
          </cell>
          <cell r="L180">
            <v>14.297000000000001</v>
          </cell>
          <cell r="M180">
            <v>-0.50800000000000001</v>
          </cell>
          <cell r="N180">
            <v>-0.43</v>
          </cell>
          <cell r="O180">
            <v>-17.507999999999999</v>
          </cell>
          <cell r="P180">
            <v>-14.885</v>
          </cell>
          <cell r="Q180">
            <v>-85.234899328859072</v>
          </cell>
          <cell r="R180">
            <v>-79.189686924493557</v>
          </cell>
          <cell r="S180">
            <v>7.6229999999999993</v>
          </cell>
          <cell r="T180">
            <v>7.6229999999999993</v>
          </cell>
        </row>
        <row r="181">
          <cell r="A181" t="str">
            <v>Samoa</v>
          </cell>
          <cell r="B181">
            <v>882</v>
          </cell>
          <cell r="C181">
            <v>10030.386</v>
          </cell>
          <cell r="D181">
            <v>10494.502</v>
          </cell>
          <cell r="E181">
            <v>87.616</v>
          </cell>
          <cell r="F181">
            <v>96.221000000000004</v>
          </cell>
          <cell r="G181">
            <v>80.629000000000005</v>
          </cell>
          <cell r="H181">
            <v>88.763000000000005</v>
          </cell>
          <cell r="I181">
            <v>10.677999999999997</v>
          </cell>
          <cell r="J181">
            <v>8.286999999999999</v>
          </cell>
          <cell r="K181">
            <v>26.902999999999999</v>
          </cell>
          <cell r="L181">
            <v>23.736999999999998</v>
          </cell>
          <cell r="M181">
            <v>-14.023</v>
          </cell>
          <cell r="N181">
            <v>-14</v>
          </cell>
          <cell r="O181">
            <v>-16.225000000000001</v>
          </cell>
          <cell r="P181">
            <v>-15.45</v>
          </cell>
          <cell r="Q181">
            <v>-49.019470758905165</v>
          </cell>
          <cell r="R181">
            <v>-52.489502099580086</v>
          </cell>
          <cell r="S181">
            <v>156.709</v>
          </cell>
          <cell r="T181">
            <v>370.779</v>
          </cell>
        </row>
        <row r="182">
          <cell r="A182" t="str">
            <v>San Marino</v>
          </cell>
          <cell r="B182">
            <v>674</v>
          </cell>
          <cell r="C182">
            <v>3696.453</v>
          </cell>
          <cell r="D182">
            <v>3954.5839999999998</v>
          </cell>
          <cell r="E182">
            <v>12.839</v>
          </cell>
          <cell r="F182">
            <v>13.98</v>
          </cell>
          <cell r="G182">
            <v>12.856</v>
          </cell>
          <cell r="H182">
            <v>14.137</v>
          </cell>
          <cell r="I182">
            <v>9.5129999999999999</v>
          </cell>
          <cell r="J182">
            <v>8.4990000000000006</v>
          </cell>
          <cell r="K182">
            <v>1.915</v>
          </cell>
          <cell r="L182">
            <v>1.2350000000000001</v>
          </cell>
          <cell r="M182">
            <v>1</v>
          </cell>
          <cell r="N182">
            <v>1</v>
          </cell>
          <cell r="O182">
            <v>7.5979999999999999</v>
          </cell>
          <cell r="P182">
            <v>7.2640000000000002</v>
          </cell>
          <cell r="Q182">
            <v>79.239302694136299</v>
          </cell>
          <cell r="R182">
            <v>77.459333849728893</v>
          </cell>
          <cell r="S182">
            <v>29.962</v>
          </cell>
          <cell r="T182">
            <v>22.956</v>
          </cell>
        </row>
        <row r="183">
          <cell r="A183" t="str">
            <v>Sao Tome and Principe</v>
          </cell>
          <cell r="B183">
            <v>678</v>
          </cell>
          <cell r="C183">
            <v>4338.75</v>
          </cell>
          <cell r="D183">
            <v>4205.7470000000003</v>
          </cell>
          <cell r="E183">
            <v>63.167000000000002</v>
          </cell>
          <cell r="F183">
            <v>77.7</v>
          </cell>
          <cell r="G183">
            <v>64.340999999999994</v>
          </cell>
          <cell r="H183">
            <v>78.822999999999993</v>
          </cell>
          <cell r="I183">
            <v>18.218000000000004</v>
          </cell>
          <cell r="J183">
            <v>22.748999999999999</v>
          </cell>
          <cell r="K183">
            <v>25.703000000000003</v>
          </cell>
          <cell r="L183">
            <v>25.45</v>
          </cell>
          <cell r="M183">
            <v>-5</v>
          </cell>
          <cell r="N183">
            <v>-2</v>
          </cell>
          <cell r="O183">
            <v>-7.4850000000000003</v>
          </cell>
          <cell r="P183">
            <v>-2.7010000000000001</v>
          </cell>
          <cell r="Q183">
            <v>-21.514629948364888</v>
          </cell>
          <cell r="R183">
            <v>-7.8942174856917307</v>
          </cell>
          <cell r="S183">
            <v>295.25900000000001</v>
          </cell>
          <cell r="T183">
            <v>320.47300000000001</v>
          </cell>
        </row>
        <row r="184">
          <cell r="A184" t="str">
            <v>Saudi Arabia</v>
          </cell>
          <cell r="B184">
            <v>682</v>
          </cell>
          <cell r="C184">
            <v>663.88599999999997</v>
          </cell>
          <cell r="D184">
            <v>785.13900000000001</v>
          </cell>
          <cell r="E184">
            <v>10468.630999999999</v>
          </cell>
          <cell r="F184">
            <v>13259.326999999999</v>
          </cell>
          <cell r="G184">
            <v>8213.2189999999991</v>
          </cell>
          <cell r="H184">
            <v>11313.772999999999</v>
          </cell>
          <cell r="I184">
            <v>27.908999999999999</v>
          </cell>
          <cell r="J184">
            <v>26.824999999999999</v>
          </cell>
          <cell r="K184">
            <v>27.161999999999999</v>
          </cell>
          <cell r="L184">
            <v>24.654</v>
          </cell>
          <cell r="M184">
            <v>75</v>
          </cell>
          <cell r="N184">
            <v>250</v>
          </cell>
          <cell r="O184">
            <v>0.747</v>
          </cell>
          <cell r="P184">
            <v>2.1709999999999998</v>
          </cell>
          <cell r="Q184">
            <v>2.392412416173856</v>
          </cell>
          <cell r="R184">
            <v>7.6141304860952275</v>
          </cell>
          <cell r="S184">
            <v>49463.929000000004</v>
          </cell>
          <cell r="T184">
            <v>45986.445999999996</v>
          </cell>
        </row>
        <row r="185">
          <cell r="A185" t="str">
            <v>Senegal</v>
          </cell>
          <cell r="B185">
            <v>686</v>
          </cell>
          <cell r="C185">
            <v>22680.951999999997</v>
          </cell>
          <cell r="D185">
            <v>21711.472000000002</v>
          </cell>
          <cell r="E185">
            <v>4482.1409999999996</v>
          </cell>
          <cell r="F185">
            <v>5734.335</v>
          </cell>
          <cell r="G185">
            <v>4637.3720000000003</v>
          </cell>
          <cell r="H185">
            <v>5923.8370000000004</v>
          </cell>
          <cell r="I185">
            <v>25.142000000000003</v>
          </cell>
          <cell r="J185">
            <v>23.913999999999998</v>
          </cell>
          <cell r="K185">
            <v>27.197000000000003</v>
          </cell>
          <cell r="L185">
            <v>25.731999999999999</v>
          </cell>
          <cell r="M185">
            <v>-100</v>
          </cell>
          <cell r="N185">
            <v>-100</v>
          </cell>
          <cell r="O185">
            <v>-2.0550000000000002</v>
          </cell>
          <cell r="P185">
            <v>-1.8180000000000001</v>
          </cell>
          <cell r="Q185">
            <v>-5.1956499939990248</v>
          </cell>
          <cell r="R185">
            <v>-4.8577858892007049</v>
          </cell>
          <cell r="S185">
            <v>23108.152999999998</v>
          </cell>
          <cell r="T185">
            <v>23930.353000000003</v>
          </cell>
        </row>
        <row r="186">
          <cell r="A186" t="str">
            <v>Yugoslavia</v>
          </cell>
          <cell r="B186">
            <v>891</v>
          </cell>
          <cell r="C186">
            <v>148189.19900000002</v>
          </cell>
          <cell r="D186">
            <v>143201.57199999999</v>
          </cell>
          <cell r="E186">
            <v>5242.4380000000001</v>
          </cell>
          <cell r="F186">
            <v>5225.7070000000003</v>
          </cell>
          <cell r="G186">
            <v>5305.9040000000005</v>
          </cell>
          <cell r="H186">
            <v>5277.4080000000004</v>
          </cell>
          <cell r="I186">
            <v>-5.9000000000000163E-2</v>
          </cell>
          <cell r="J186">
            <v>-0.8</v>
          </cell>
          <cell r="K186">
            <v>1.8369999999999997</v>
          </cell>
          <cell r="L186">
            <v>1.1000000000000001</v>
          </cell>
          <cell r="M186">
            <v>-100</v>
          </cell>
          <cell r="N186">
            <v>-100</v>
          </cell>
          <cell r="O186">
            <v>-1.8959999999999999</v>
          </cell>
          <cell r="P186">
            <v>-1.9</v>
          </cell>
          <cell r="Q186">
            <v>-15.50911781036071</v>
          </cell>
          <cell r="R186">
            <v>-16.151409775802282</v>
          </cell>
          <cell r="S186">
            <v>9426.0709999999999</v>
          </cell>
          <cell r="T186">
            <v>9681.4739999999983</v>
          </cell>
        </row>
        <row r="187">
          <cell r="A187" t="str">
            <v>Seychelles</v>
          </cell>
          <cell r="B187">
            <v>690</v>
          </cell>
          <cell r="C187">
            <v>5439.0789999999997</v>
          </cell>
          <cell r="D187">
            <v>9037.69</v>
          </cell>
          <cell r="E187">
            <v>37.451999999999998</v>
          </cell>
          <cell r="F187">
            <v>39.954000000000001</v>
          </cell>
          <cell r="G187">
            <v>37.863</v>
          </cell>
          <cell r="H187">
            <v>40.700000000000003</v>
          </cell>
          <cell r="I187">
            <v>4.9120000000000008</v>
          </cell>
          <cell r="J187">
            <v>8.7829999999999995</v>
          </cell>
          <cell r="K187">
            <v>10.158000000000001</v>
          </cell>
          <cell r="L187">
            <v>8.7829999999999995</v>
          </cell>
          <cell r="M187">
            <v>-2</v>
          </cell>
          <cell r="N187">
            <v>0</v>
          </cell>
          <cell r="O187">
            <v>-5.2460000000000004</v>
          </cell>
          <cell r="P187">
            <v>0</v>
          </cell>
          <cell r="Q187">
            <v>-30.562347188264059</v>
          </cell>
          <cell r="R187">
            <v>0</v>
          </cell>
          <cell r="S187">
            <v>99.406000000000006</v>
          </cell>
          <cell r="T187">
            <v>99.406000000000006</v>
          </cell>
        </row>
        <row r="188">
          <cell r="A188" t="str">
            <v>Sierra Leone</v>
          </cell>
          <cell r="B188">
            <v>694</v>
          </cell>
          <cell r="C188">
            <v>5.1909999999999998</v>
          </cell>
          <cell r="D188">
            <v>4.9180000000000001</v>
          </cell>
          <cell r="E188">
            <v>2036.4169999999999</v>
          </cell>
          <cell r="F188">
            <v>2724.5949999999998</v>
          </cell>
          <cell r="G188">
            <v>2100.328</v>
          </cell>
          <cell r="H188">
            <v>2800.8829999999998</v>
          </cell>
          <cell r="I188">
            <v>17.221999999999998</v>
          </cell>
          <cell r="J188">
            <v>40.520000000000003</v>
          </cell>
          <cell r="K188">
            <v>22.316999999999997</v>
          </cell>
          <cell r="L188">
            <v>23.052000000000003</v>
          </cell>
          <cell r="M188">
            <v>-110.122</v>
          </cell>
          <cell r="N188">
            <v>438.21499999999997</v>
          </cell>
          <cell r="O188">
            <v>-5.0949999999999998</v>
          </cell>
          <cell r="P188">
            <v>17.468</v>
          </cell>
          <cell r="Q188">
            <v>-10.851831632140231</v>
          </cell>
          <cell r="R188">
            <v>37.391538811378858</v>
          </cell>
          <cell r="S188">
            <v>13786.418000000001</v>
          </cell>
          <cell r="T188">
            <v>13976.512000000001</v>
          </cell>
        </row>
        <row r="189">
          <cell r="A189" t="str">
            <v>Singapore</v>
          </cell>
          <cell r="B189">
            <v>702</v>
          </cell>
          <cell r="C189">
            <v>40.271000000000001</v>
          </cell>
          <cell r="D189">
            <v>42.695999999999998</v>
          </cell>
          <cell r="E189">
            <v>1751.501</v>
          </cell>
          <cell r="F189">
            <v>2177.1840000000002</v>
          </cell>
          <cell r="G189">
            <v>1726.5360000000001</v>
          </cell>
          <cell r="H189">
            <v>2148.355</v>
          </cell>
          <cell r="I189">
            <v>28.785</v>
          </cell>
          <cell r="J189">
            <v>14.773</v>
          </cell>
          <cell r="K189">
            <v>9.1460000000000008</v>
          </cell>
          <cell r="L189">
            <v>5.1840000000000002</v>
          </cell>
          <cell r="M189">
            <v>368</v>
          </cell>
          <cell r="N189">
            <v>200</v>
          </cell>
          <cell r="O189">
            <v>19.638999999999999</v>
          </cell>
          <cell r="P189">
            <v>9.5890000000000004</v>
          </cell>
          <cell r="Q189">
            <v>140.67278287461772</v>
          </cell>
          <cell r="R189">
            <v>94.8289759418888</v>
          </cell>
          <cell r="S189">
            <v>5212.759</v>
          </cell>
          <cell r="T189">
            <v>4055.8919999999998</v>
          </cell>
        </row>
        <row r="190">
          <cell r="A190" t="str">
            <v>Slovakia</v>
          </cell>
          <cell r="B190">
            <v>703</v>
          </cell>
          <cell r="C190">
            <v>147.85899999999998</v>
          </cell>
          <cell r="D190">
            <v>160.76499999999999</v>
          </cell>
          <cell r="E190">
            <v>2612.2289999999998</v>
          </cell>
          <cell r="F190">
            <v>2620.0169999999998</v>
          </cell>
          <cell r="G190">
            <v>2751.4479999999999</v>
          </cell>
          <cell r="H190">
            <v>2780.8910000000001</v>
          </cell>
          <cell r="I190">
            <v>1.3570000000000002</v>
          </cell>
          <cell r="J190">
            <v>2.5999999999999301E-2</v>
          </cell>
          <cell r="K190">
            <v>1.0090000000000003</v>
          </cell>
          <cell r="L190">
            <v>-0.1590000000000007</v>
          </cell>
          <cell r="M190">
            <v>9.359</v>
          </cell>
          <cell r="N190">
            <v>5</v>
          </cell>
          <cell r="O190">
            <v>0.34799999999999998</v>
          </cell>
          <cell r="P190">
            <v>0.185</v>
          </cell>
          <cell r="Q190">
            <v>3.2112625796467924</v>
          </cell>
          <cell r="R190">
            <v>1.9409259769650906</v>
          </cell>
          <cell r="S190">
            <v>4612.32</v>
          </cell>
          <cell r="T190">
            <v>4532.3599999999997</v>
          </cell>
        </row>
        <row r="191">
          <cell r="A191" t="str">
            <v>Slovenia</v>
          </cell>
          <cell r="B191">
            <v>705</v>
          </cell>
          <cell r="C191">
            <v>112.97800000000001</v>
          </cell>
          <cell r="D191">
            <v>119.05099999999999</v>
          </cell>
          <cell r="E191">
            <v>956.58900000000006</v>
          </cell>
          <cell r="F191">
            <v>960.12</v>
          </cell>
          <cell r="G191">
            <v>1007.42</v>
          </cell>
          <cell r="H191">
            <v>1006.694</v>
          </cell>
          <cell r="I191">
            <v>0.28699999999999892</v>
          </cell>
          <cell r="J191">
            <v>-1.000000000000778E-3</v>
          </cell>
          <cell r="K191">
            <v>-0.52700000000000102</v>
          </cell>
          <cell r="L191">
            <v>-1.0180000000000007</v>
          </cell>
          <cell r="M191">
            <v>8</v>
          </cell>
          <cell r="N191">
            <v>10</v>
          </cell>
          <cell r="O191">
            <v>0.81399999999999995</v>
          </cell>
          <cell r="P191">
            <v>1.0169999999999999</v>
          </cell>
          <cell r="Q191">
            <v>8.9080907734449823</v>
          </cell>
          <cell r="R191">
            <v>11.548944426479421</v>
          </cell>
          <cell r="S191">
            <v>1630.4859999999999</v>
          </cell>
          <cell r="T191">
            <v>1525.7850000000001</v>
          </cell>
        </row>
        <row r="192">
          <cell r="A192" t="str">
            <v>Solomon Islands</v>
          </cell>
          <cell r="B192">
            <v>90</v>
          </cell>
          <cell r="C192">
            <v>5.82</v>
          </cell>
          <cell r="D192">
            <v>5.7690000000000001</v>
          </cell>
          <cell r="E192">
            <v>188.001</v>
          </cell>
          <cell r="F192">
            <v>246.608</v>
          </cell>
          <cell r="G192">
            <v>175.83199999999999</v>
          </cell>
          <cell r="H192">
            <v>231.13399999999999</v>
          </cell>
          <cell r="I192">
            <v>28.060999999999996</v>
          </cell>
          <cell r="J192">
            <v>26.329000000000001</v>
          </cell>
          <cell r="K192">
            <v>28.060999999999996</v>
          </cell>
          <cell r="L192">
            <v>26.329000000000001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920.73800000000006</v>
          </cell>
          <cell r="T192">
            <v>920.73800000000006</v>
          </cell>
        </row>
        <row r="193">
          <cell r="A193" t="str">
            <v xml:space="preserve">Somalia </v>
          </cell>
          <cell r="B193">
            <v>706</v>
          </cell>
          <cell r="C193">
            <v>168.245</v>
          </cell>
          <cell r="D193">
            <v>184.98400000000001</v>
          </cell>
          <cell r="E193">
            <v>3118.2649999999999</v>
          </cell>
          <cell r="F193">
            <v>4081.0680000000002</v>
          </cell>
          <cell r="G193">
            <v>3193.3820000000001</v>
          </cell>
          <cell r="H193">
            <v>4146.7579999999998</v>
          </cell>
          <cell r="I193">
            <v>21.015999999999998</v>
          </cell>
          <cell r="J193">
            <v>31.920999999999996</v>
          </cell>
          <cell r="K193">
            <v>27.45</v>
          </cell>
          <cell r="L193">
            <v>27.458999999999996</v>
          </cell>
          <cell r="M193">
            <v>-214.31100000000001</v>
          </cell>
          <cell r="N193">
            <v>170</v>
          </cell>
          <cell r="O193">
            <v>-6.4340000000000002</v>
          </cell>
          <cell r="P193">
            <v>4.4619999999999997</v>
          </cell>
          <cell r="Q193">
            <v>-13.480086600236252</v>
          </cell>
          <cell r="R193">
            <v>9.7386657684179667</v>
          </cell>
          <cell r="S193">
            <v>21329.092000000001</v>
          </cell>
          <cell r="T193">
            <v>21007.163999999997</v>
          </cell>
        </row>
        <row r="194">
          <cell r="A194" t="str">
            <v>South Africa</v>
          </cell>
          <cell r="B194">
            <v>710</v>
          </cell>
          <cell r="C194">
            <v>25.695</v>
          </cell>
          <cell r="D194">
            <v>28.117000000000001</v>
          </cell>
          <cell r="E194">
            <v>20648.080999999998</v>
          </cell>
          <cell r="F194">
            <v>23291.102999999999</v>
          </cell>
          <cell r="G194">
            <v>21245.949000000001</v>
          </cell>
          <cell r="H194">
            <v>24140.725999999999</v>
          </cell>
          <cell r="I194">
            <v>16.988000000000003</v>
          </cell>
          <cell r="J194">
            <v>7.8309999999999995</v>
          </cell>
          <cell r="K194">
            <v>15.323000000000002</v>
          </cell>
          <cell r="L194">
            <v>7.6159999999999997</v>
          </cell>
          <cell r="M194">
            <v>364.28899999999999</v>
          </cell>
          <cell r="N194">
            <v>50</v>
          </cell>
          <cell r="O194">
            <v>1.665</v>
          </cell>
          <cell r="P194">
            <v>0.215</v>
          </cell>
          <cell r="Q194">
            <v>6.5614745697808576</v>
          </cell>
          <cell r="R194">
            <v>0.90209817209651577</v>
          </cell>
          <cell r="S194">
            <v>48659.903999999995</v>
          </cell>
          <cell r="T194">
            <v>48432.307000000001</v>
          </cell>
        </row>
        <row r="195">
          <cell r="A195" t="str">
            <v>Spain</v>
          </cell>
          <cell r="B195">
            <v>724</v>
          </cell>
          <cell r="C195">
            <v>127.508</v>
          </cell>
          <cell r="D195">
            <v>156.523</v>
          </cell>
          <cell r="E195">
            <v>19567.999</v>
          </cell>
          <cell r="F195">
            <v>21148.221000000001</v>
          </cell>
          <cell r="G195">
            <v>20352.536</v>
          </cell>
          <cell r="H195">
            <v>21915.968000000001</v>
          </cell>
          <cell r="I195">
            <v>3.9520000000000004</v>
          </cell>
          <cell r="J195">
            <v>11.205</v>
          </cell>
          <cell r="K195">
            <v>0.5990000000000002</v>
          </cell>
          <cell r="L195">
            <v>1.536999999999999</v>
          </cell>
          <cell r="M195">
            <v>676</v>
          </cell>
          <cell r="N195">
            <v>2025</v>
          </cell>
          <cell r="O195">
            <v>3.3530000000000002</v>
          </cell>
          <cell r="P195">
            <v>9.6679999999999993</v>
          </cell>
          <cell r="Q195">
            <v>35.387111971941579</v>
          </cell>
          <cell r="R195">
            <v>93.382350228544666</v>
          </cell>
          <cell r="S195">
            <v>42541.274999999994</v>
          </cell>
          <cell r="T195">
            <v>38508.803</v>
          </cell>
        </row>
        <row r="196">
          <cell r="A196" t="str">
            <v>Sri Lanka</v>
          </cell>
          <cell r="B196">
            <v>144</v>
          </cell>
          <cell r="C196">
            <v>9119.512999999999</v>
          </cell>
          <cell r="D196">
            <v>11658.172</v>
          </cell>
          <cell r="E196">
            <v>9642.1489999999994</v>
          </cell>
          <cell r="F196">
            <v>10541.396000000001</v>
          </cell>
          <cell r="G196">
            <v>9230.0169999999998</v>
          </cell>
          <cell r="H196">
            <v>10201.509</v>
          </cell>
          <cell r="I196">
            <v>10.077</v>
          </cell>
          <cell r="J196">
            <v>8.8230000000000022</v>
          </cell>
          <cell r="K196">
            <v>11.727</v>
          </cell>
          <cell r="L196">
            <v>10.397000000000002</v>
          </cell>
          <cell r="M196">
            <v>-159.69999999999999</v>
          </cell>
          <cell r="N196">
            <v>-159.69999999999999</v>
          </cell>
          <cell r="O196">
            <v>-1.65</v>
          </cell>
          <cell r="P196">
            <v>-1.5740000000000001</v>
          </cell>
          <cell r="Q196">
            <v>-9.4584294032187088</v>
          </cell>
          <cell r="R196">
            <v>-9.59332011773893</v>
          </cell>
          <cell r="S196">
            <v>23553.566999999999</v>
          </cell>
          <cell r="T196">
            <v>25609.114999999998</v>
          </cell>
        </row>
        <row r="197">
          <cell r="A197" t="str">
            <v>Sudan</v>
          </cell>
          <cell r="B197">
            <v>736</v>
          </cell>
          <cell r="C197">
            <v>10548.342000000001</v>
          </cell>
          <cell r="D197">
            <v>10503.115000000002</v>
          </cell>
          <cell r="E197">
            <v>14754.906000000001</v>
          </cell>
          <cell r="F197">
            <v>18235.353999999999</v>
          </cell>
          <cell r="G197">
            <v>14597.116</v>
          </cell>
          <cell r="H197">
            <v>17997.591</v>
          </cell>
          <cell r="I197">
            <v>22.811999999999998</v>
          </cell>
          <cell r="J197">
            <v>19.268999999999995</v>
          </cell>
          <cell r="K197">
            <v>24.140999999999998</v>
          </cell>
          <cell r="L197">
            <v>22.272999999999996</v>
          </cell>
          <cell r="M197">
            <v>-206.85400000000001</v>
          </cell>
          <cell r="N197">
            <v>-519.12300000000005</v>
          </cell>
          <cell r="O197">
            <v>-1.329</v>
          </cell>
          <cell r="P197">
            <v>-3.004</v>
          </cell>
          <cell r="Q197">
            <v>-3.7018537902509538</v>
          </cell>
          <cell r="R197">
            <v>-8.9662854278668309</v>
          </cell>
          <cell r="S197">
            <v>66705.021000000008</v>
          </cell>
          <cell r="T197">
            <v>66399.653999999995</v>
          </cell>
        </row>
        <row r="198">
          <cell r="A198" t="str">
            <v>Suriname</v>
          </cell>
          <cell r="B198">
            <v>740</v>
          </cell>
          <cell r="C198">
            <v>75.314999999999998</v>
          </cell>
          <cell r="D198">
            <v>80.653999999999996</v>
          </cell>
          <cell r="E198">
            <v>207.41900000000001</v>
          </cell>
          <cell r="F198">
            <v>224.26300000000001</v>
          </cell>
          <cell r="G198">
            <v>207.184</v>
          </cell>
          <cell r="H198">
            <v>224.97499999999999</v>
          </cell>
          <cell r="I198">
            <v>9.150999999999998</v>
          </cell>
          <cell r="J198">
            <v>6.8929999999999989</v>
          </cell>
          <cell r="K198">
            <v>16.692999999999998</v>
          </cell>
          <cell r="L198">
            <v>14.138999999999999</v>
          </cell>
          <cell r="M198">
            <v>-16</v>
          </cell>
          <cell r="N198">
            <v>-16</v>
          </cell>
          <cell r="O198">
            <v>-7.5419999999999998</v>
          </cell>
          <cell r="P198">
            <v>-7.2460000000000004</v>
          </cell>
          <cell r="Q198">
            <v>-31.814837644906646</v>
          </cell>
          <cell r="R198">
            <v>-34.058495465962793</v>
          </cell>
          <cell r="S198">
            <v>429.29200000000003</v>
          </cell>
          <cell r="T198">
            <v>649.46100000000001</v>
          </cell>
        </row>
        <row r="199">
          <cell r="A199" t="str">
            <v>Swaziland</v>
          </cell>
          <cell r="B199">
            <v>748</v>
          </cell>
          <cell r="C199">
            <v>4136.7449999999999</v>
          </cell>
          <cell r="D199">
            <v>5525.4779999999992</v>
          </cell>
          <cell r="E199">
            <v>455.86799999999999</v>
          </cell>
          <cell r="F199">
            <v>497.685</v>
          </cell>
          <cell r="G199">
            <v>497.238</v>
          </cell>
          <cell r="H199">
            <v>534.75300000000004</v>
          </cell>
          <cell r="I199">
            <v>14.16</v>
          </cell>
          <cell r="J199">
            <v>1.824000000000001</v>
          </cell>
          <cell r="K199">
            <v>16.588999999999999</v>
          </cell>
          <cell r="L199">
            <v>2.9920000000000009</v>
          </cell>
          <cell r="M199">
            <v>-12</v>
          </cell>
          <cell r="N199">
            <v>-6</v>
          </cell>
          <cell r="O199">
            <v>-2.4289999999999998</v>
          </cell>
          <cell r="P199">
            <v>-1.1679999999999999</v>
          </cell>
          <cell r="Q199">
            <v>-7.3439412484700126</v>
          </cell>
          <cell r="R199">
            <v>-3.9382224176747425</v>
          </cell>
          <cell r="S199">
            <v>1025.952</v>
          </cell>
          <cell r="T199">
            <v>1063.9369999999999</v>
          </cell>
        </row>
        <row r="200">
          <cell r="A200" t="str">
            <v>Sweden</v>
          </cell>
          <cell r="B200">
            <v>752</v>
          </cell>
          <cell r="C200">
            <v>5363.6769999999997</v>
          </cell>
          <cell r="D200">
            <v>5400.9079999999994</v>
          </cell>
          <cell r="E200">
            <v>4361.1679999999997</v>
          </cell>
          <cell r="F200">
            <v>4486.4480000000003</v>
          </cell>
          <cell r="G200">
            <v>4465.7809999999999</v>
          </cell>
          <cell r="H200">
            <v>4554.8140000000003</v>
          </cell>
          <cell r="I200">
            <v>1.1399999999999999</v>
          </cell>
          <cell r="J200">
            <v>3.6569999999999991</v>
          </cell>
          <cell r="K200">
            <v>-0.2240000000000002</v>
          </cell>
          <cell r="L200">
            <v>0.15199999999999925</v>
          </cell>
          <cell r="M200">
            <v>60.350999999999999</v>
          </cell>
          <cell r="N200">
            <v>157</v>
          </cell>
          <cell r="O200">
            <v>1.3640000000000001</v>
          </cell>
          <cell r="P200">
            <v>3.5049999999999999</v>
          </cell>
          <cell r="Q200">
            <v>13.182514181616432</v>
          </cell>
          <cell r="R200">
            <v>33.10252928625043</v>
          </cell>
          <cell r="S200">
            <v>10054.373</v>
          </cell>
          <cell r="T200">
            <v>8704.476999999999</v>
          </cell>
        </row>
        <row r="201">
          <cell r="A201" t="str">
            <v>Switzerland</v>
          </cell>
          <cell r="B201">
            <v>756</v>
          </cell>
          <cell r="C201">
            <v>1964.009</v>
          </cell>
          <cell r="D201">
            <v>1966.8139999999999</v>
          </cell>
          <cell r="E201">
            <v>3426.4920000000002</v>
          </cell>
          <cell r="F201">
            <v>3512.2579999999998</v>
          </cell>
          <cell r="G201">
            <v>3576.7069999999999</v>
          </cell>
          <cell r="H201">
            <v>3740.0729999999999</v>
          </cell>
          <cell r="I201">
            <v>4.6369999999999996</v>
          </cell>
          <cell r="J201">
            <v>2.3540000000000019</v>
          </cell>
          <cell r="K201">
            <v>2.3789999999999996</v>
          </cell>
          <cell r="L201">
            <v>1.2440000000000015</v>
          </cell>
          <cell r="M201">
            <v>80</v>
          </cell>
          <cell r="N201">
            <v>40</v>
          </cell>
          <cell r="O201">
            <v>2.258</v>
          </cell>
          <cell r="P201">
            <v>1.1100000000000001</v>
          </cell>
          <cell r="Q201">
            <v>20.498576630085246</v>
          </cell>
          <cell r="R201">
            <v>11.408134570355392</v>
          </cell>
          <cell r="S201">
            <v>7252.48</v>
          </cell>
          <cell r="T201">
            <v>6386.9009999999998</v>
          </cell>
        </row>
        <row r="202">
          <cell r="A202" t="str">
            <v>Syrian Arab Republic</v>
          </cell>
          <cell r="B202">
            <v>760</v>
          </cell>
          <cell r="C202">
            <v>363.83299999999997</v>
          </cell>
          <cell r="D202">
            <v>477.74199999999996</v>
          </cell>
          <cell r="E202">
            <v>7414.0320000000002</v>
          </cell>
          <cell r="F202">
            <v>9584.74</v>
          </cell>
          <cell r="G202">
            <v>7340.6729999999998</v>
          </cell>
          <cell r="H202">
            <v>9458.6419999999998</v>
          </cell>
          <cell r="I202">
            <v>26.079000000000001</v>
          </cell>
          <cell r="J202">
            <v>24.882999999999999</v>
          </cell>
          <cell r="K202">
            <v>26.459</v>
          </cell>
          <cell r="L202">
            <v>25.218</v>
          </cell>
          <cell r="M202">
            <v>-30</v>
          </cell>
          <cell r="N202">
            <v>-30</v>
          </cell>
          <cell r="O202">
            <v>-0.38</v>
          </cell>
          <cell r="P202">
            <v>-0.33500000000000002</v>
          </cell>
          <cell r="Q202">
            <v>-1.2537811951209521</v>
          </cell>
          <cell r="R202">
            <v>-1.1645031492046831</v>
          </cell>
          <cell r="S202">
            <v>35934.99</v>
          </cell>
          <cell r="T202">
            <v>36029.364000000001</v>
          </cell>
        </row>
        <row r="203">
          <cell r="A203" t="str">
            <v>Tajikistan</v>
          </cell>
          <cell r="B203">
            <v>762</v>
          </cell>
          <cell r="C203">
            <v>6311.6469999999999</v>
          </cell>
          <cell r="D203">
            <v>8227.8260000000009</v>
          </cell>
          <cell r="E203">
            <v>2885.5680000000002</v>
          </cell>
          <cell r="F203">
            <v>3229.6610000000001</v>
          </cell>
          <cell r="G203">
            <v>2884.114</v>
          </cell>
          <cell r="H203">
            <v>3277.319</v>
          </cell>
          <cell r="I203">
            <v>13.046999999999999</v>
          </cell>
          <cell r="J203">
            <v>10.996000000000002</v>
          </cell>
          <cell r="K203">
            <v>24.616</v>
          </cell>
          <cell r="L203">
            <v>21.892000000000003</v>
          </cell>
          <cell r="M203">
            <v>-345</v>
          </cell>
          <cell r="N203">
            <v>-345</v>
          </cell>
          <cell r="O203">
            <v>-11.569000000000001</v>
          </cell>
          <cell r="P203">
            <v>-10.896000000000001</v>
          </cell>
          <cell r="Q203">
            <v>-35.361041357044023</v>
          </cell>
          <cell r="R203">
            <v>-36.93964169618269</v>
          </cell>
          <cell r="S203">
            <v>10422.519</v>
          </cell>
          <cell r="T203">
            <v>11704.851999999999</v>
          </cell>
        </row>
        <row r="204">
          <cell r="A204" t="str">
            <v>TFYR Macedonia</v>
          </cell>
          <cell r="B204">
            <v>807</v>
          </cell>
          <cell r="C204">
            <v>41894.03</v>
          </cell>
          <cell r="D204">
            <v>47431.828999999998</v>
          </cell>
          <cell r="E204">
            <v>982.79700000000003</v>
          </cell>
          <cell r="F204">
            <v>1014.845</v>
          </cell>
          <cell r="G204">
            <v>980.69</v>
          </cell>
          <cell r="H204">
            <v>1019.215</v>
          </cell>
          <cell r="I204">
            <v>4.6349999999999998</v>
          </cell>
          <cell r="J204">
            <v>2.4280000000000017</v>
          </cell>
          <cell r="K204">
            <v>5.1379999999999999</v>
          </cell>
          <cell r="L204">
            <v>3.4170000000000016</v>
          </cell>
          <cell r="M204">
            <v>-5</v>
          </cell>
          <cell r="N204">
            <v>-10</v>
          </cell>
          <cell r="O204">
            <v>-0.503</v>
          </cell>
          <cell r="P204">
            <v>-0.98899999999999999</v>
          </cell>
          <cell r="Q204">
            <v>-3.7629634089438118</v>
          </cell>
          <cell r="R204">
            <v>-8.3581989752848056</v>
          </cell>
          <cell r="S204">
            <v>1884.4490000000001</v>
          </cell>
          <cell r="T204">
            <v>1970.73</v>
          </cell>
        </row>
        <row r="205">
          <cell r="A205" t="str">
            <v>Thailand</v>
          </cell>
          <cell r="B205">
            <v>764</v>
          </cell>
          <cell r="C205">
            <v>39920.535000000003</v>
          </cell>
          <cell r="D205">
            <v>43064.188999999998</v>
          </cell>
          <cell r="E205">
            <v>28931.559000000001</v>
          </cell>
          <cell r="F205">
            <v>31543.166000000001</v>
          </cell>
          <cell r="G205">
            <v>29404.392</v>
          </cell>
          <cell r="H205">
            <v>32689.592000000001</v>
          </cell>
          <cell r="I205">
            <v>10.362000000000002</v>
          </cell>
          <cell r="J205">
            <v>8.8940000000000001</v>
          </cell>
          <cell r="K205">
            <v>10.654000000000002</v>
          </cell>
          <cell r="L205">
            <v>9.0530000000000008</v>
          </cell>
          <cell r="M205">
            <v>-87.536000000000001</v>
          </cell>
          <cell r="N205">
            <v>-50</v>
          </cell>
          <cell r="O205">
            <v>-0.29199999999999998</v>
          </cell>
          <cell r="P205">
            <v>-0.159</v>
          </cell>
          <cell r="Q205">
            <v>-1.6912240895102995</v>
          </cell>
          <cell r="R205">
            <v>-0.97586567091935916</v>
          </cell>
          <cell r="S205">
            <v>74594.296999999991</v>
          </cell>
          <cell r="T205">
            <v>75338.913</v>
          </cell>
        </row>
        <row r="206">
          <cell r="A206" t="str">
            <v>Togo</v>
          </cell>
          <cell r="B206">
            <v>768</v>
          </cell>
          <cell r="C206">
            <v>29352.022000000001</v>
          </cell>
          <cell r="D206">
            <v>36232.945</v>
          </cell>
          <cell r="E206">
            <v>2229.346</v>
          </cell>
          <cell r="F206">
            <v>3034.5650000000001</v>
          </cell>
          <cell r="G206">
            <v>2282.8130000000001</v>
          </cell>
          <cell r="H206">
            <v>3110.4389999999999</v>
          </cell>
          <cell r="I206">
            <v>34.491</v>
          </cell>
          <cell r="J206">
            <v>27.153000000000002</v>
          </cell>
          <cell r="K206">
            <v>29.318999999999999</v>
          </cell>
          <cell r="L206">
            <v>27.277000000000001</v>
          </cell>
          <cell r="M206">
            <v>127.705</v>
          </cell>
          <cell r="N206">
            <v>-3.57</v>
          </cell>
          <cell r="O206">
            <v>5.1719999999999997</v>
          </cell>
          <cell r="P206">
            <v>-0.124</v>
          </cell>
          <cell r="Q206">
            <v>12.543574199162943</v>
          </cell>
          <cell r="R206">
            <v>-0.31378849951964866</v>
          </cell>
          <cell r="S206">
            <v>13543.924999999999</v>
          </cell>
          <cell r="T206">
            <v>13555.171999999999</v>
          </cell>
        </row>
        <row r="207">
          <cell r="A207" t="str">
            <v>Tokelau</v>
          </cell>
          <cell r="B207">
            <v>772</v>
          </cell>
          <cell r="C207">
            <v>414.60300000000001</v>
          </cell>
          <cell r="D207">
            <v>449.238</v>
          </cell>
          <cell r="E207">
            <v>0.68400000000000005</v>
          </cell>
          <cell r="F207">
            <v>0.66300000000000003</v>
          </cell>
          <cell r="G207">
            <v>0.72899999999999998</v>
          </cell>
          <cell r="H207">
            <v>0.71499999999999997</v>
          </cell>
          <cell r="I207">
            <v>-2.1349999999999998</v>
          </cell>
          <cell r="J207">
            <v>-2.8819999999999997</v>
          </cell>
          <cell r="K207">
            <v>15.368</v>
          </cell>
          <cell r="L207">
            <v>14.121</v>
          </cell>
          <cell r="M207">
            <v>-0.123</v>
          </cell>
          <cell r="N207">
            <v>-0.11799999999999999</v>
          </cell>
          <cell r="O207">
            <v>-17.503</v>
          </cell>
          <cell r="P207">
            <v>-17.003</v>
          </cell>
          <cell r="Q207">
            <v>-88.489208633093526</v>
          </cell>
          <cell r="R207">
            <v>-92.913385826771645</v>
          </cell>
          <cell r="S207">
            <v>1.8180000000000001</v>
          </cell>
          <cell r="T207">
            <v>1.8180000000000001</v>
          </cell>
        </row>
        <row r="208">
          <cell r="A208" t="str">
            <v>Tonga</v>
          </cell>
          <cell r="B208">
            <v>776</v>
          </cell>
          <cell r="C208">
            <v>953.10599999999999</v>
          </cell>
          <cell r="D208">
            <v>1032.4380000000001</v>
          </cell>
          <cell r="E208">
            <v>49.110999999999997</v>
          </cell>
          <cell r="F208">
            <v>52.167999999999999</v>
          </cell>
          <cell r="G208">
            <v>47.753999999999998</v>
          </cell>
          <cell r="H208">
            <v>50.143000000000001</v>
          </cell>
          <cell r="I208">
            <v>6.7489999999999988</v>
          </cell>
          <cell r="J208">
            <v>4.1900000000000004</v>
          </cell>
          <cell r="K208">
            <v>21.254999999999999</v>
          </cell>
          <cell r="L208">
            <v>18.305</v>
          </cell>
          <cell r="M208">
            <v>-7.1459999999999999</v>
          </cell>
          <cell r="N208">
            <v>-7.1459999999999999</v>
          </cell>
          <cell r="O208">
            <v>-14.506</v>
          </cell>
          <cell r="P208">
            <v>-14.115</v>
          </cell>
          <cell r="Q208">
            <v>-53.536110278693435</v>
          </cell>
          <cell r="R208">
            <v>-58.282358698311718</v>
          </cell>
          <cell r="S208">
            <v>74.978000000000009</v>
          </cell>
          <cell r="T208">
            <v>181.38800000000001</v>
          </cell>
        </row>
        <row r="209">
          <cell r="A209" t="str">
            <v>Trinidad and Tobago</v>
          </cell>
          <cell r="B209">
            <v>780</v>
          </cell>
          <cell r="C209">
            <v>8826.9490000000005</v>
          </cell>
          <cell r="D209">
            <v>9041.2620000000006</v>
          </cell>
          <cell r="E209">
            <v>627.38699999999994</v>
          </cell>
          <cell r="F209">
            <v>643.72699999999998</v>
          </cell>
          <cell r="G209">
            <v>631.93700000000001</v>
          </cell>
          <cell r="H209">
            <v>661.50900000000001</v>
          </cell>
          <cell r="I209">
            <v>3.99</v>
          </cell>
          <cell r="J209">
            <v>3.1709999999999998</v>
          </cell>
          <cell r="K209">
            <v>7.1349999999999998</v>
          </cell>
          <cell r="L209">
            <v>6.26</v>
          </cell>
          <cell r="M209">
            <v>-20</v>
          </cell>
          <cell r="N209">
            <v>-20</v>
          </cell>
          <cell r="O209">
            <v>-3.145</v>
          </cell>
          <cell r="P209">
            <v>-3.089</v>
          </cell>
          <cell r="Q209">
            <v>-22.337134369031794</v>
          </cell>
          <cell r="R209">
            <v>-21.759944294542606</v>
          </cell>
          <cell r="S209">
            <v>1229.595</v>
          </cell>
          <cell r="T209">
            <v>1450.546</v>
          </cell>
        </row>
        <row r="210">
          <cell r="A210" t="str">
            <v>Tunisia</v>
          </cell>
          <cell r="B210">
            <v>788</v>
          </cell>
          <cell r="C210">
            <v>7003.1990000000005</v>
          </cell>
          <cell r="D210">
            <v>7252.3310000000001</v>
          </cell>
          <cell r="E210">
            <v>4535.3890000000001</v>
          </cell>
          <cell r="F210">
            <v>5089.6530000000002</v>
          </cell>
          <cell r="G210">
            <v>4441.2420000000002</v>
          </cell>
          <cell r="H210">
            <v>5012.8140000000003</v>
          </cell>
          <cell r="I210">
            <v>12.662000000000001</v>
          </cell>
          <cell r="J210">
            <v>10.962999999999999</v>
          </cell>
          <cell r="K210">
            <v>13.093</v>
          </cell>
          <cell r="L210">
            <v>11.37</v>
          </cell>
          <cell r="M210">
            <v>-20</v>
          </cell>
          <cell r="N210">
            <v>-20</v>
          </cell>
          <cell r="O210">
            <v>-0.43099999999999999</v>
          </cell>
          <cell r="P210">
            <v>-0.40699999999999997</v>
          </cell>
          <cell r="Q210">
            <v>-2.3189992126997674</v>
          </cell>
          <cell r="R210">
            <v>-2.4215948139125465</v>
          </cell>
          <cell r="S210">
            <v>12926.748</v>
          </cell>
          <cell r="T210">
            <v>13176.919000000002</v>
          </cell>
        </row>
        <row r="211">
          <cell r="A211" t="str">
            <v>Turkey</v>
          </cell>
          <cell r="B211">
            <v>792</v>
          </cell>
          <cell r="C211">
            <v>1963.4870000000001</v>
          </cell>
          <cell r="D211">
            <v>2034.06</v>
          </cell>
          <cell r="E211">
            <v>31640.392</v>
          </cell>
          <cell r="F211">
            <v>36878.457000000002</v>
          </cell>
          <cell r="G211">
            <v>30980.024000000001</v>
          </cell>
          <cell r="H211">
            <v>36314.381000000001</v>
          </cell>
          <cell r="I211">
            <v>17.161000000000001</v>
          </cell>
          <cell r="J211">
            <v>14.023999999999997</v>
          </cell>
          <cell r="K211">
            <v>16.748000000000001</v>
          </cell>
          <cell r="L211">
            <v>14.730999999999998</v>
          </cell>
          <cell r="M211">
            <v>135.24</v>
          </cell>
          <cell r="N211">
            <v>-250</v>
          </cell>
          <cell r="O211">
            <v>0.41299999999999998</v>
          </cell>
          <cell r="P211">
            <v>-0.70699999999999996</v>
          </cell>
          <cell r="Q211">
            <v>1.76783782218694</v>
          </cell>
          <cell r="R211">
            <v>-3.3106807726387335</v>
          </cell>
          <cell r="S211">
            <v>101208.35399999999</v>
          </cell>
          <cell r="T211">
            <v>102680.19</v>
          </cell>
        </row>
        <row r="212">
          <cell r="A212" t="str">
            <v>Turkmenistan</v>
          </cell>
          <cell r="B212">
            <v>795</v>
          </cell>
          <cell r="C212">
            <v>4512.1589999999997</v>
          </cell>
          <cell r="D212">
            <v>6145.0039999999999</v>
          </cell>
          <cell r="E212">
            <v>2069.3690000000001</v>
          </cell>
          <cell r="F212">
            <v>2380.364</v>
          </cell>
          <cell r="G212">
            <v>2123.61</v>
          </cell>
          <cell r="H212">
            <v>2452.902</v>
          </cell>
          <cell r="I212">
            <v>14.222999999999999</v>
          </cell>
          <cell r="J212">
            <v>14.188000000000001</v>
          </cell>
          <cell r="K212">
            <v>16.523</v>
          </cell>
          <cell r="L212">
            <v>14.616000000000001</v>
          </cell>
          <cell r="M212">
            <v>-50</v>
          </cell>
          <cell r="N212">
            <v>-10</v>
          </cell>
          <cell r="O212">
            <v>-2.2999999999999998</v>
          </cell>
          <cell r="P212">
            <v>-0.42799999999999999</v>
          </cell>
          <cell r="Q212">
            <v>-9.3938346384500928</v>
          </cell>
          <cell r="R212">
            <v>-1.87185645107248</v>
          </cell>
          <cell r="S212">
            <v>6779.7909999999993</v>
          </cell>
          <cell r="T212">
            <v>6882.3809999999994</v>
          </cell>
        </row>
        <row r="213">
          <cell r="A213" t="str">
            <v>Turks and Caicos Islands</v>
          </cell>
          <cell r="B213">
            <v>796</v>
          </cell>
          <cell r="C213">
            <v>1.413</v>
          </cell>
          <cell r="D213">
            <v>1.3780000000000001</v>
          </cell>
          <cell r="E213">
            <v>7.7850000000000001</v>
          </cell>
          <cell r="F213">
            <v>13.255000000000001</v>
          </cell>
          <cell r="G213">
            <v>7.5410000000000004</v>
          </cell>
          <cell r="H213">
            <v>13.032999999999999</v>
          </cell>
          <cell r="I213">
            <v>46.968000000000004</v>
          </cell>
          <cell r="J213">
            <v>60.263999999999996</v>
          </cell>
          <cell r="K213">
            <v>17.023000000000003</v>
          </cell>
          <cell r="L213">
            <v>16.492999999999999</v>
          </cell>
          <cell r="M213">
            <v>2.6</v>
          </cell>
          <cell r="N213">
            <v>5</v>
          </cell>
          <cell r="O213">
            <v>29.945</v>
          </cell>
          <cell r="P213">
            <v>43.771000000000001</v>
          </cell>
          <cell r="Q213">
            <v>130.718954248366</v>
          </cell>
          <cell r="R213">
            <v>201.93861066235863</v>
          </cell>
          <cell r="S213">
            <v>34.506</v>
          </cell>
          <cell r="T213">
            <v>34.506</v>
          </cell>
        </row>
        <row r="214">
          <cell r="A214" t="str">
            <v>Tuvalu</v>
          </cell>
          <cell r="B214">
            <v>798</v>
          </cell>
          <cell r="C214">
            <v>96.864999999999995</v>
          </cell>
          <cell r="D214">
            <v>102.31100000000001</v>
          </cell>
          <cell r="E214">
            <v>4.7549999999999999</v>
          </cell>
          <cell r="F214">
            <v>4.9640000000000004</v>
          </cell>
          <cell r="G214">
            <v>5.0570000000000004</v>
          </cell>
          <cell r="H214">
            <v>5.4770000000000003</v>
          </cell>
          <cell r="I214">
            <v>7.4610000000000003</v>
          </cell>
          <cell r="J214">
            <v>4.9649999999999999</v>
          </cell>
          <cell r="K214">
            <v>17.463000000000001</v>
          </cell>
          <cell r="L214">
            <v>14.661000000000001</v>
          </cell>
          <cell r="M214">
            <v>-0.5</v>
          </cell>
          <cell r="N214">
            <v>-0.5</v>
          </cell>
          <cell r="O214">
            <v>-10.002000000000001</v>
          </cell>
          <cell r="P214">
            <v>-9.6959999999999997</v>
          </cell>
          <cell r="Q214">
            <v>-36.656891495601165</v>
          </cell>
          <cell r="R214">
            <v>-40.032025620496391</v>
          </cell>
          <cell r="S214">
            <v>11.858000000000001</v>
          </cell>
          <cell r="T214">
            <v>17.66</v>
          </cell>
        </row>
        <row r="215">
          <cell r="A215" t="str">
            <v>Uganda</v>
          </cell>
          <cell r="B215">
            <v>800</v>
          </cell>
          <cell r="C215">
            <v>1259.3240000000001</v>
          </cell>
          <cell r="D215">
            <v>1305.2359999999999</v>
          </cell>
          <cell r="E215">
            <v>10390.093000000001</v>
          </cell>
          <cell r="F215">
            <v>14416.388999999999</v>
          </cell>
          <cell r="G215">
            <v>10502.179</v>
          </cell>
          <cell r="H215">
            <v>14399.84</v>
          </cell>
          <cell r="I215">
            <v>30.234000000000005</v>
          </cell>
          <cell r="J215">
            <v>33.939</v>
          </cell>
          <cell r="K215">
            <v>30.818000000000005</v>
          </cell>
          <cell r="L215">
            <v>34.052</v>
          </cell>
          <cell r="M215">
            <v>-66</v>
          </cell>
          <cell r="N215">
            <v>-15</v>
          </cell>
          <cell r="O215">
            <v>-0.58399999999999996</v>
          </cell>
          <cell r="P215">
            <v>-0.113</v>
          </cell>
          <cell r="Q215">
            <v>-1.1779246217478796</v>
          </cell>
          <cell r="R215">
            <v>-0.22512739959543107</v>
          </cell>
          <cell r="S215">
            <v>126949.74799999999</v>
          </cell>
          <cell r="T215">
            <v>127887.14199999999</v>
          </cell>
        </row>
        <row r="216">
          <cell r="A216" t="str">
            <v>Ukraine</v>
          </cell>
          <cell r="B216">
            <v>804</v>
          </cell>
          <cell r="C216">
            <v>8976.6310000000012</v>
          </cell>
          <cell r="D216">
            <v>10102.467000000001</v>
          </cell>
          <cell r="E216">
            <v>23931.805</v>
          </cell>
          <cell r="F216">
            <v>21310.078000000001</v>
          </cell>
          <cell r="G216">
            <v>27599.244999999999</v>
          </cell>
          <cell r="H216">
            <v>25170.625</v>
          </cell>
          <cell r="I216">
            <v>-9.597999999999999</v>
          </cell>
          <cell r="J216">
            <v>-11.027000000000001</v>
          </cell>
          <cell r="K216">
            <v>-6.8159999999999989</v>
          </cell>
          <cell r="L216">
            <v>-8.0980000000000008</v>
          </cell>
          <cell r="M216">
            <v>-700</v>
          </cell>
          <cell r="N216">
            <v>-700</v>
          </cell>
          <cell r="O216">
            <v>-2.782</v>
          </cell>
          <cell r="P216">
            <v>-2.9289999999999998</v>
          </cell>
          <cell r="Q216">
            <v>-32.415331155023075</v>
          </cell>
          <cell r="R216">
            <v>-35.622684525505846</v>
          </cell>
          <cell r="S216">
            <v>26392.554</v>
          </cell>
          <cell r="T216">
            <v>30959.747000000003</v>
          </cell>
        </row>
        <row r="217">
          <cell r="A217" t="str">
            <v>United Arab Emirates</v>
          </cell>
          <cell r="B217">
            <v>784</v>
          </cell>
          <cell r="C217">
            <v>15.326000000000001</v>
          </cell>
          <cell r="D217">
            <v>26.288</v>
          </cell>
          <cell r="E217">
            <v>1603.7190000000001</v>
          </cell>
          <cell r="F217">
            <v>3062.9540000000002</v>
          </cell>
          <cell r="G217">
            <v>831.21199999999999</v>
          </cell>
          <cell r="H217">
            <v>1432.8689999999999</v>
          </cell>
          <cell r="I217">
            <v>57.168000000000006</v>
          </cell>
          <cell r="J217">
            <v>64.515000000000001</v>
          </cell>
          <cell r="K217">
            <v>17.254000000000001</v>
          </cell>
          <cell r="L217">
            <v>14.921000000000001</v>
          </cell>
          <cell r="M217">
            <v>566.97799999999995</v>
          </cell>
          <cell r="N217">
            <v>960</v>
          </cell>
          <cell r="O217">
            <v>39.914000000000001</v>
          </cell>
          <cell r="P217">
            <v>49.594000000000001</v>
          </cell>
          <cell r="Q217">
            <v>211.29719899229312</v>
          </cell>
          <cell r="R217">
            <v>304.97102775236351</v>
          </cell>
          <cell r="S217">
            <v>9056.2459999999992</v>
          </cell>
          <cell r="T217">
            <v>6099.732</v>
          </cell>
        </row>
        <row r="218">
          <cell r="A218" t="str">
            <v>United Kingdom</v>
          </cell>
          <cell r="B218">
            <v>826</v>
          </cell>
          <cell r="C218">
            <v>9.8120000000000012</v>
          </cell>
          <cell r="D218">
            <v>10.441000000000001</v>
          </cell>
          <cell r="E218">
            <v>27899.651999999998</v>
          </cell>
          <cell r="F218">
            <v>29153.13</v>
          </cell>
          <cell r="G218">
            <v>29770.615000000002</v>
          </cell>
          <cell r="H218">
            <v>30514.714</v>
          </cell>
          <cell r="I218">
            <v>3.4360000000000004</v>
          </cell>
          <cell r="J218">
            <v>3.3730000000000007</v>
          </cell>
          <cell r="K218">
            <v>1.4610000000000003</v>
          </cell>
          <cell r="L218">
            <v>1.0530000000000008</v>
          </cell>
          <cell r="M218">
            <v>574.47199999999998</v>
          </cell>
          <cell r="N218">
            <v>686.4</v>
          </cell>
          <cell r="O218">
            <v>1.9750000000000001</v>
          </cell>
          <cell r="P218">
            <v>2.3199999999999998</v>
          </cell>
          <cell r="Q218">
            <v>16.090543900896463</v>
          </cell>
          <cell r="R218">
            <v>20.414408932374592</v>
          </cell>
          <cell r="S218">
            <v>67143.394</v>
          </cell>
          <cell r="T218">
            <v>57366.91</v>
          </cell>
        </row>
        <row r="219">
          <cell r="A219" t="str">
            <v>United Republic of Tanzania</v>
          </cell>
          <cell r="B219">
            <v>834</v>
          </cell>
          <cell r="C219">
            <v>20892.272000000001</v>
          </cell>
          <cell r="D219">
            <v>28816.228999999999</v>
          </cell>
          <cell r="E219">
            <v>15313.946</v>
          </cell>
          <cell r="F219">
            <v>19070.523000000001</v>
          </cell>
          <cell r="G219">
            <v>15615.605</v>
          </cell>
          <cell r="H219">
            <v>19258.286</v>
          </cell>
          <cell r="I219">
            <v>23.34</v>
          </cell>
          <cell r="J219">
            <v>19.515000000000001</v>
          </cell>
          <cell r="K219">
            <v>24.593999999999998</v>
          </cell>
          <cell r="L219">
            <v>21.402999999999999</v>
          </cell>
          <cell r="M219">
            <v>-205.875</v>
          </cell>
          <cell r="N219">
            <v>-345</v>
          </cell>
          <cell r="O219">
            <v>-1.254</v>
          </cell>
          <cell r="P219">
            <v>-1.8879999999999999</v>
          </cell>
          <cell r="Q219">
            <v>-3.1210134595837284</v>
          </cell>
          <cell r="R219">
            <v>-4.9572626484197251</v>
          </cell>
          <cell r="S219">
            <v>66844.875</v>
          </cell>
          <cell r="T219">
            <v>67446.59599999999</v>
          </cell>
        </row>
        <row r="220">
          <cell r="A220" t="str">
            <v>United States of America</v>
          </cell>
          <cell r="B220">
            <v>840</v>
          </cell>
          <cell r="C220">
            <v>51531.05</v>
          </cell>
          <cell r="D220">
            <v>46480.703000000001</v>
          </cell>
          <cell r="E220">
            <v>132387.94500000001</v>
          </cell>
          <cell r="F220">
            <v>146680.16500000001</v>
          </cell>
          <cell r="G220">
            <v>137214.82999999999</v>
          </cell>
          <cell r="H220">
            <v>151532.73000000001</v>
          </cell>
          <cell r="I220">
            <v>10.512</v>
          </cell>
          <cell r="J220">
            <v>9.657</v>
          </cell>
          <cell r="K220">
            <v>6.0329999999999995</v>
          </cell>
          <cell r="L220">
            <v>5.673</v>
          </cell>
          <cell r="M220">
            <v>6200</v>
          </cell>
          <cell r="N220">
            <v>5800</v>
          </cell>
          <cell r="O220">
            <v>4.4790000000000001</v>
          </cell>
          <cell r="P220">
            <v>3.984</v>
          </cell>
          <cell r="Q220">
            <v>31.205744152056131</v>
          </cell>
          <cell r="R220">
            <v>28.36464888379238</v>
          </cell>
          <cell r="S220">
            <v>394976.48499999999</v>
          </cell>
          <cell r="T220">
            <v>321765.59999999998</v>
          </cell>
        </row>
        <row r="221">
          <cell r="A221" t="str">
            <v>United States Virgin Islands</v>
          </cell>
          <cell r="B221">
            <v>850</v>
          </cell>
          <cell r="C221">
            <v>57670.267</v>
          </cell>
          <cell r="D221">
            <v>59667.843999999997</v>
          </cell>
          <cell r="E221">
            <v>51.502000000000002</v>
          </cell>
          <cell r="F221">
            <v>53.182000000000002</v>
          </cell>
          <cell r="G221">
            <v>55.838000000000001</v>
          </cell>
          <cell r="H221">
            <v>58.636000000000003</v>
          </cell>
          <cell r="I221">
            <v>6.5230000000000006</v>
          </cell>
          <cell r="J221">
            <v>1.6510000000000007</v>
          </cell>
          <cell r="K221">
            <v>11.954000000000001</v>
          </cell>
          <cell r="L221">
            <v>8.8350000000000009</v>
          </cell>
          <cell r="M221">
            <v>-2.9630000000000001</v>
          </cell>
          <cell r="N221">
            <v>-4</v>
          </cell>
          <cell r="O221">
            <v>-5.431</v>
          </cell>
          <cell r="P221">
            <v>-7.1840000000000002</v>
          </cell>
          <cell r="Q221">
            <v>-31.628949615713065</v>
          </cell>
          <cell r="R221">
            <v>-49.267151126986079</v>
          </cell>
          <cell r="S221">
            <v>82.295000000000002</v>
          </cell>
          <cell r="T221">
            <v>133.114</v>
          </cell>
        </row>
        <row r="222">
          <cell r="A222" t="str">
            <v>Uruguay</v>
          </cell>
          <cell r="B222">
            <v>858</v>
          </cell>
          <cell r="C222">
            <v>30929.550999999999</v>
          </cell>
          <cell r="D222">
            <v>38328.809000000001</v>
          </cell>
          <cell r="E222">
            <v>1560.606</v>
          </cell>
          <cell r="F222">
            <v>1680.25</v>
          </cell>
          <cell r="G222">
            <v>1657.587</v>
          </cell>
          <cell r="H222">
            <v>1782.9469999999999</v>
          </cell>
          <cell r="I222">
            <v>7.524</v>
          </cell>
          <cell r="J222">
            <v>7.1480000000000006</v>
          </cell>
          <cell r="K222">
            <v>8.5</v>
          </cell>
          <cell r="L222">
            <v>7.7360000000000007</v>
          </cell>
          <cell r="M222">
            <v>-16</v>
          </cell>
          <cell r="N222">
            <v>-10</v>
          </cell>
          <cell r="O222">
            <v>-0.97599999999999998</v>
          </cell>
          <cell r="P222">
            <v>-0.58799999999999997</v>
          </cell>
          <cell r="Q222">
            <v>-5.5321782606140024</v>
          </cell>
          <cell r="R222">
            <v>-3.4921932020967126</v>
          </cell>
          <cell r="S222">
            <v>4043.261</v>
          </cell>
          <cell r="T222">
            <v>4169.5360000000001</v>
          </cell>
        </row>
        <row r="223">
          <cell r="A223" t="str">
            <v>Uzbekistan</v>
          </cell>
          <cell r="B223">
            <v>860</v>
          </cell>
          <cell r="C223">
            <v>269602.77500000002</v>
          </cell>
          <cell r="D223">
            <v>298212.89500000002</v>
          </cell>
          <cell r="E223">
            <v>11370.632</v>
          </cell>
          <cell r="F223">
            <v>13224.174999999999</v>
          </cell>
          <cell r="G223">
            <v>11547.814</v>
          </cell>
          <cell r="H223">
            <v>13368.948</v>
          </cell>
          <cell r="I223">
            <v>15.155999999999999</v>
          </cell>
          <cell r="J223">
            <v>14.573</v>
          </cell>
          <cell r="K223">
            <v>18.513999999999999</v>
          </cell>
          <cell r="L223">
            <v>16.911000000000001</v>
          </cell>
          <cell r="M223">
            <v>-400</v>
          </cell>
          <cell r="N223">
            <v>-300</v>
          </cell>
          <cell r="O223">
            <v>-3.3580000000000001</v>
          </cell>
          <cell r="P223">
            <v>-2.3380000000000001</v>
          </cell>
          <cell r="Q223">
            <v>-13.30805246965847</v>
          </cell>
          <cell r="R223">
            <v>-9.8808859202316075</v>
          </cell>
          <cell r="S223">
            <v>38665.303</v>
          </cell>
          <cell r="T223">
            <v>39963.449999999997</v>
          </cell>
        </row>
        <row r="224">
          <cell r="A224" t="str">
            <v>Vanuatu</v>
          </cell>
          <cell r="B224">
            <v>548</v>
          </cell>
          <cell r="C224">
            <v>107.34</v>
          </cell>
          <cell r="D224">
            <v>111.81800000000001</v>
          </cell>
          <cell r="E224">
            <v>88.460999999999999</v>
          </cell>
          <cell r="F224">
            <v>107.74</v>
          </cell>
          <cell r="G224">
            <v>83.759</v>
          </cell>
          <cell r="H224">
            <v>103.627</v>
          </cell>
          <cell r="I224">
            <v>21.158000000000001</v>
          </cell>
          <cell r="J224">
            <v>19.77</v>
          </cell>
          <cell r="K224">
            <v>27.42</v>
          </cell>
          <cell r="L224">
            <v>25.728000000000002</v>
          </cell>
          <cell r="M224">
            <v>-5.6929999999999996</v>
          </cell>
          <cell r="N224">
            <v>-6</v>
          </cell>
          <cell r="O224">
            <v>-6.2619999999999996</v>
          </cell>
          <cell r="P224">
            <v>-5.9580000000000002</v>
          </cell>
          <cell r="Q224">
            <v>-18.378744834710741</v>
          </cell>
          <cell r="R224">
            <v>-18.977132555270899</v>
          </cell>
          <cell r="S224">
            <v>374.95600000000002</v>
          </cell>
          <cell r="T224">
            <v>444.21</v>
          </cell>
        </row>
        <row r="225">
          <cell r="A225" t="str">
            <v>Venezuela</v>
          </cell>
          <cell r="B225">
            <v>862</v>
          </cell>
          <cell r="C225">
            <v>3218.1930000000002</v>
          </cell>
          <cell r="D225">
            <v>3463.1970000000001</v>
          </cell>
          <cell r="E225">
            <v>11131.538</v>
          </cell>
          <cell r="F225">
            <v>13442.079</v>
          </cell>
          <cell r="G225">
            <v>10955.558000000001</v>
          </cell>
          <cell r="H225">
            <v>13307.035</v>
          </cell>
          <cell r="I225">
            <v>20.045999999999999</v>
          </cell>
          <cell r="J225">
            <v>18.225999999999996</v>
          </cell>
          <cell r="K225">
            <v>19.701999999999998</v>
          </cell>
          <cell r="L225">
            <v>17.912999999999997</v>
          </cell>
          <cell r="M225">
            <v>40</v>
          </cell>
          <cell r="N225">
            <v>40</v>
          </cell>
          <cell r="O225">
            <v>0.34399999999999997</v>
          </cell>
          <cell r="P225">
            <v>0.313</v>
          </cell>
          <cell r="Q225">
            <v>1.4051234313114194</v>
          </cell>
          <cell r="R225">
            <v>1.367779024356383</v>
          </cell>
          <cell r="S225">
            <v>41991.159</v>
          </cell>
          <cell r="T225">
            <v>41492.675000000003</v>
          </cell>
        </row>
        <row r="226">
          <cell r="A226" t="str">
            <v>Viet Nam</v>
          </cell>
          <cell r="B226">
            <v>704</v>
          </cell>
          <cell r="C226">
            <v>172.22</v>
          </cell>
          <cell r="D226">
            <v>211.36699999999999</v>
          </cell>
          <cell r="E226">
            <v>36504.144</v>
          </cell>
          <cell r="F226">
            <v>42067.563000000002</v>
          </cell>
          <cell r="G226">
            <v>36659.305999999997</v>
          </cell>
          <cell r="H226">
            <v>42170.667999999998</v>
          </cell>
          <cell r="I226">
            <v>14.51</v>
          </cell>
          <cell r="J226">
            <v>13.669</v>
          </cell>
          <cell r="K226">
            <v>15.036999999999999</v>
          </cell>
          <cell r="L226">
            <v>14.16</v>
          </cell>
          <cell r="M226">
            <v>-200</v>
          </cell>
          <cell r="N226">
            <v>-200</v>
          </cell>
          <cell r="O226">
            <v>-0.52700000000000002</v>
          </cell>
          <cell r="P226">
            <v>-0.49099999999999999</v>
          </cell>
          <cell r="Q226">
            <v>-2.4576168612177614</v>
          </cell>
          <cell r="R226">
            <v>-2.4258820264459953</v>
          </cell>
          <cell r="S226">
            <v>116654.202</v>
          </cell>
          <cell r="T226">
            <v>118907.33199999999</v>
          </cell>
        </row>
        <row r="227">
          <cell r="A227" t="str">
            <v>Wallis and Futuna Islands</v>
          </cell>
          <cell r="B227">
            <v>876</v>
          </cell>
          <cell r="C227">
            <v>22087.096000000001</v>
          </cell>
          <cell r="D227">
            <v>26749.114000000001</v>
          </cell>
          <cell r="E227">
            <v>7.0609999999999999</v>
          </cell>
          <cell r="F227">
            <v>7.6210000000000004</v>
          </cell>
          <cell r="G227">
            <v>7.2670000000000003</v>
          </cell>
          <cell r="H227">
            <v>7.859</v>
          </cell>
          <cell r="I227">
            <v>8.9520000000000017</v>
          </cell>
          <cell r="J227">
            <v>6.5129999999999999</v>
          </cell>
          <cell r="K227">
            <v>18.504000000000001</v>
          </cell>
          <cell r="L227">
            <v>15.704000000000001</v>
          </cell>
          <cell r="M227">
            <v>-0.7</v>
          </cell>
          <cell r="N227">
            <v>-0.7</v>
          </cell>
          <cell r="O227">
            <v>-9.5519999999999996</v>
          </cell>
          <cell r="P227">
            <v>-9.1910000000000007</v>
          </cell>
          <cell r="Q227">
            <v>-37.293553542887587</v>
          </cell>
          <cell r="R227">
            <v>-41.395623891188642</v>
          </cell>
          <cell r="S227">
            <v>24.872999999999998</v>
          </cell>
          <cell r="T227">
            <v>24.872999999999998</v>
          </cell>
        </row>
        <row r="228">
          <cell r="A228" t="str">
            <v>Western Sahara</v>
          </cell>
          <cell r="B228">
            <v>732</v>
          </cell>
          <cell r="C228">
            <v>14.327999999999999</v>
          </cell>
          <cell r="D228">
            <v>15.48</v>
          </cell>
          <cell r="E228">
            <v>135.59800000000001</v>
          </cell>
          <cell r="F228">
            <v>176.45099999999999</v>
          </cell>
          <cell r="G228">
            <v>123.857</v>
          </cell>
          <cell r="H228">
            <v>164.97</v>
          </cell>
          <cell r="I228">
            <v>28.701000000000001</v>
          </cell>
          <cell r="J228">
            <v>26.119</v>
          </cell>
          <cell r="K228">
            <v>21.545999999999999</v>
          </cell>
          <cell r="L228">
            <v>19.879000000000001</v>
          </cell>
          <cell r="M228">
            <v>10</v>
          </cell>
          <cell r="N228">
            <v>10</v>
          </cell>
          <cell r="O228">
            <v>7.1550000000000002</v>
          </cell>
          <cell r="P228">
            <v>6.24</v>
          </cell>
          <cell r="Q228">
            <v>23.726481125584264</v>
          </cell>
          <cell r="R228">
            <v>22.665971576871645</v>
          </cell>
          <cell r="S228">
            <v>895.803</v>
          </cell>
          <cell r="T228">
            <v>612.82000000000005</v>
          </cell>
        </row>
        <row r="229">
          <cell r="A229" t="str">
            <v>Yemen</v>
          </cell>
          <cell r="B229">
            <v>887</v>
          </cell>
          <cell r="C229">
            <v>259.45499999999998</v>
          </cell>
          <cell r="D229">
            <v>341.42099999999999</v>
          </cell>
          <cell r="E229">
            <v>7731.3310000000001</v>
          </cell>
          <cell r="F229">
            <v>10634.748</v>
          </cell>
          <cell r="G229">
            <v>7487.3389999999999</v>
          </cell>
          <cell r="H229">
            <v>10339.906999999999</v>
          </cell>
          <cell r="I229">
            <v>32.790999999999997</v>
          </cell>
          <cell r="J229">
            <v>31.231000000000002</v>
          </cell>
          <cell r="K229">
            <v>33.393999999999998</v>
          </cell>
          <cell r="L229">
            <v>32.259</v>
          </cell>
          <cell r="M229">
            <v>-50</v>
          </cell>
          <cell r="N229">
            <v>-100</v>
          </cell>
          <cell r="O229">
            <v>-0.60299999999999998</v>
          </cell>
          <cell r="P229">
            <v>-1.028</v>
          </cell>
          <cell r="Q229">
            <v>-1.3777270039452589</v>
          </cell>
          <cell r="R229">
            <v>-2.5094235126458635</v>
          </cell>
          <cell r="S229">
            <v>59453.815999999999</v>
          </cell>
          <cell r="T229">
            <v>60803.122000000003</v>
          </cell>
        </row>
        <row r="230">
          <cell r="A230" t="str">
            <v>Zambia</v>
          </cell>
          <cell r="B230">
            <v>894</v>
          </cell>
          <cell r="C230">
            <v>9559.42</v>
          </cell>
          <cell r="D230">
            <v>11668.457</v>
          </cell>
          <cell r="E230">
            <v>4748.1779999999999</v>
          </cell>
          <cell r="F230">
            <v>5842.6570000000002</v>
          </cell>
          <cell r="G230">
            <v>4811.2420000000002</v>
          </cell>
          <cell r="H230">
            <v>5825.8</v>
          </cell>
          <cell r="I230">
            <v>22.558</v>
          </cell>
          <cell r="J230">
            <v>17.279</v>
          </cell>
          <cell r="K230">
            <v>20.855999999999998</v>
          </cell>
          <cell r="L230">
            <v>18.440999999999999</v>
          </cell>
          <cell r="M230">
            <v>86.209000000000003</v>
          </cell>
          <cell r="N230">
            <v>-65</v>
          </cell>
          <cell r="O230">
            <v>1.702</v>
          </cell>
          <cell r="P230">
            <v>-1.1619999999999999</v>
          </cell>
          <cell r="Q230">
            <v>3.9595761215637499</v>
          </cell>
          <cell r="R230">
            <v>-2.8166865712517706</v>
          </cell>
          <cell r="S230">
            <v>22780.981</v>
          </cell>
          <cell r="T230">
            <v>23089.59</v>
          </cell>
        </row>
        <row r="231">
          <cell r="A231" t="str">
            <v>Zimbabwe</v>
          </cell>
          <cell r="B231">
            <v>716</v>
          </cell>
          <cell r="C231">
            <v>11819.621999999999</v>
          </cell>
          <cell r="D231">
            <v>13009.534</v>
          </cell>
          <cell r="E231">
            <v>5842.4290000000001</v>
          </cell>
          <cell r="F231">
            <v>6452.7079999999996</v>
          </cell>
          <cell r="G231">
            <v>5977.1930000000002</v>
          </cell>
          <cell r="H231">
            <v>6556.826</v>
          </cell>
          <cell r="I231">
            <v>12.705</v>
          </cell>
          <cell r="J231">
            <v>6.4749999999999996</v>
          </cell>
          <cell r="K231">
            <v>14.753</v>
          </cell>
          <cell r="L231">
            <v>7.2560000000000002</v>
          </cell>
          <cell r="M231">
            <v>-125</v>
          </cell>
          <cell r="N231">
            <v>-50</v>
          </cell>
          <cell r="O231">
            <v>-2.048</v>
          </cell>
          <cell r="P231">
            <v>-0.78100000000000003</v>
          </cell>
          <cell r="Q231">
            <v>-6.3820770852798674</v>
          </cell>
          <cell r="R231">
            <v>-2.6039103442421552</v>
          </cell>
          <cell r="S231">
            <v>15804.648000000001</v>
          </cell>
          <cell r="T231">
            <v>15891.11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Data"/>
      <sheetName val="Sheet1"/>
      <sheetName val="TableOrdered"/>
      <sheetName val="Index"/>
      <sheetName val="LastTable"/>
      <sheetName val="ViewPolicy"/>
      <sheetName val="Instru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un.org/en/development/desa/population/migration/data/estimates2/data/UN_MigrantStockByAgeAndSex_2019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n.org/en/development/desa/population/migration/data/estimates2/data/UN_MigrantStockByAgeAndSex_2019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n.org/en/development/desa/population/migration/data/empirical2/index.s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C7" sqref="C7:N7"/>
    </sheetView>
  </sheetViews>
  <sheetFormatPr baseColWidth="10" defaultColWidth="0" defaultRowHeight="18" zeroHeight="1" x14ac:dyDescent="0.35"/>
  <cols>
    <col min="1" max="2" width="4.28515625" style="181" customWidth="1"/>
    <col min="3" max="3" width="28.5703125" style="181" customWidth="1"/>
    <col min="4" max="4" width="11.42578125" style="181" customWidth="1"/>
    <col min="5" max="5" width="14.28515625" style="181" customWidth="1"/>
    <col min="6" max="6" width="11.42578125" style="181" customWidth="1"/>
    <col min="7" max="7" width="16.42578125" style="181" customWidth="1"/>
    <col min="8" max="9" width="14.28515625" style="181" customWidth="1"/>
    <col min="10" max="10" width="11.42578125" style="181" customWidth="1"/>
    <col min="11" max="11" width="15.28515625" style="181" customWidth="1"/>
    <col min="12" max="13" width="11.42578125" style="181" customWidth="1"/>
    <col min="14" max="14" width="28.5703125" style="181" customWidth="1"/>
    <col min="15" max="15" width="4.42578125" style="181" customWidth="1"/>
    <col min="16" max="16" width="4.28515625" style="181" customWidth="1"/>
    <col min="17" max="16384" width="11.42578125" style="181" hidden="1"/>
  </cols>
  <sheetData>
    <row r="1" spans="2:14" ht="15" customHeight="1" x14ac:dyDescent="0.35"/>
    <row r="2" spans="2:14" x14ac:dyDescent="0.35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2:14" x14ac:dyDescent="0.3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2:14" x14ac:dyDescent="0.3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2:14" x14ac:dyDescent="0.3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35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ht="37.5" customHeight="1" x14ac:dyDescent="0.35">
      <c r="C7" s="344" t="s">
        <v>382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2:14" ht="18.75" x14ac:dyDescent="0.35"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</row>
    <row r="9" spans="2:14" ht="30" customHeight="1" x14ac:dyDescent="0.35">
      <c r="C9" s="345" t="s">
        <v>378</v>
      </c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</row>
    <row r="10" spans="2:14" ht="18.75" x14ac:dyDescent="0.3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</row>
    <row r="11" spans="2:14" ht="30" customHeight="1" x14ac:dyDescent="0.35">
      <c r="C11" s="345" t="s">
        <v>310</v>
      </c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</row>
    <row r="12" spans="2:14" ht="18.75" x14ac:dyDescent="0.3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</row>
    <row r="13" spans="2:14" ht="30" customHeight="1" x14ac:dyDescent="0.35">
      <c r="C13" s="345" t="s">
        <v>311</v>
      </c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</row>
    <row r="14" spans="2:14" ht="18.75" x14ac:dyDescent="0.35"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</row>
    <row r="15" spans="2:14" s="184" customFormat="1" ht="30" customHeight="1" x14ac:dyDescent="0.25">
      <c r="C15" s="345" t="s">
        <v>312</v>
      </c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</row>
    <row r="16" spans="2:14" ht="18.75" x14ac:dyDescent="0.35"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</row>
    <row r="17" spans="3:14" ht="30" customHeight="1" x14ac:dyDescent="0.35">
      <c r="C17" s="345" t="s">
        <v>313</v>
      </c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</row>
    <row r="18" spans="3:14" ht="18.75" x14ac:dyDescent="0.35"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</row>
    <row r="19" spans="3:14" ht="30" customHeight="1" x14ac:dyDescent="0.35">
      <c r="C19" s="345" t="s">
        <v>314</v>
      </c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</row>
    <row r="20" spans="3:14" ht="18.75" x14ac:dyDescent="0.35"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</row>
    <row r="21" spans="3:14" ht="30" customHeight="1" x14ac:dyDescent="0.35">
      <c r="C21" s="345" t="s">
        <v>354</v>
      </c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</row>
    <row r="22" spans="3:14" ht="18.75" x14ac:dyDescent="0.35"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</row>
    <row r="23" spans="3:14" ht="18.75" hidden="1" x14ac:dyDescent="0.35"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</row>
    <row r="24" spans="3:14" ht="18.75" hidden="1" x14ac:dyDescent="0.35"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</row>
    <row r="25" spans="3:14" ht="18.75" hidden="1" x14ac:dyDescent="0.35"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</row>
    <row r="27" spans="3:14" hidden="1" x14ac:dyDescent="0.35"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</row>
    <row r="29" spans="3:14" hidden="1" x14ac:dyDescent="0.35"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</row>
  </sheetData>
  <mergeCells count="12">
    <mergeCell ref="C29:N29"/>
    <mergeCell ref="C7:N7"/>
    <mergeCell ref="C9:N9"/>
    <mergeCell ref="C11:N11"/>
    <mergeCell ref="C13:N13"/>
    <mergeCell ref="C15:N15"/>
    <mergeCell ref="C17:N17"/>
    <mergeCell ref="C19:N19"/>
    <mergeCell ref="C21:N21"/>
    <mergeCell ref="C23:N23"/>
    <mergeCell ref="C25:N25"/>
    <mergeCell ref="C27:N27"/>
  </mergeCells>
  <hyperlinks>
    <hyperlink ref="C9:N9" location="'I.1. Tot. Pob mund y mig'!A1" display="I.1. Total de población mundial y migrante según sexo y nivel de desarrollo regional de destino, 1960 - 2020"/>
    <hyperlink ref="C11:N11" location="'I.2 Pob migr. Grupos de edad'!A1" display="I.2. Población migrante internacional según sexo y grupos de edad, 2020"/>
    <hyperlink ref="C13:N13" location="'I.3 Pob Inmg por país'!A1" display="I.3. Población mundial e inmigrantes según sexo por país de destino, 2020"/>
    <hyperlink ref="C15:N15" location="'I.4.Pob Emig por país'!A1" display="I.4. Población mundial y emigrante según sexo por país de origen, 2020"/>
    <hyperlink ref="C17:N17" location="'I.5. Regiones mig.int'!A1" display="I.5. Regiones de origen y destino de la población migrante internacional, 2020"/>
    <hyperlink ref="C19:N19" location="'I.6. Stock Corredores'!A1" display="I.6. Stock migratorio de los corredores migratorios mundiales (origen - destino) con flujos superiores a 1 millón de personas, 2020"/>
    <hyperlink ref="C21:N21" location="'I.7. Prin. Corredores por Dir.'!A1" display="I.7. Los cinco principales corredores migratorios en las cuatro direcciones de la migración, 2020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zoomScaleNormal="100" workbookViewId="0">
      <pane xSplit="1" ySplit="10" topLeftCell="B17" activePane="bottomRight" state="frozen"/>
      <selection activeCell="C7" sqref="C7:N7"/>
      <selection pane="topRight" activeCell="C7" sqref="C7:N7"/>
      <selection pane="bottomLeft" activeCell="C7" sqref="C7:N7"/>
      <selection pane="bottomRight"/>
    </sheetView>
  </sheetViews>
  <sheetFormatPr baseColWidth="10" defaultColWidth="0" defaultRowHeight="18" zeroHeight="1" x14ac:dyDescent="0.35"/>
  <cols>
    <col min="1" max="1" width="2.85546875" style="1" customWidth="1"/>
    <col min="2" max="2" width="10.28515625" style="1" customWidth="1"/>
    <col min="3" max="3" width="13.28515625" style="1" customWidth="1"/>
    <col min="4" max="4" width="15.140625" style="1" customWidth="1"/>
    <col min="5" max="5" width="15.7109375" style="1" customWidth="1"/>
    <col min="6" max="6" width="13.5703125" style="1" customWidth="1"/>
    <col min="7" max="7" width="3" style="1" customWidth="1"/>
    <col min="8" max="8" width="15.140625" style="1" customWidth="1"/>
    <col min="9" max="9" width="15.7109375" style="1" customWidth="1"/>
    <col min="10" max="10" width="2.7109375" style="60" customWidth="1"/>
    <col min="11" max="11" width="13" style="1" customWidth="1"/>
    <col min="12" max="12" width="13.28515625" style="1" customWidth="1"/>
    <col min="13" max="13" width="11.7109375" style="1" customWidth="1"/>
    <col min="14" max="14" width="21" style="1" customWidth="1"/>
    <col min="15" max="15" width="3.140625" style="1" customWidth="1"/>
    <col min="16" max="16" width="15.85546875" style="1" customWidth="1"/>
    <col min="17" max="17" width="16.85546875" style="1" customWidth="1"/>
    <col min="18" max="18" width="11.7109375" style="1" bestFit="1" customWidth="1"/>
    <col min="19" max="19" width="11.42578125" style="1" hidden="1" customWidth="1"/>
    <col min="20" max="20" width="11.7109375" style="1" hidden="1" customWidth="1"/>
    <col min="21" max="21" width="17.140625" style="1" hidden="1" customWidth="1"/>
    <col min="22" max="28" width="0" style="1" hidden="1" customWidth="1"/>
    <col min="29" max="16384" width="11.42578125" style="1" hidden="1"/>
  </cols>
  <sheetData>
    <row r="1" spans="1:28" ht="15" customHeight="1" x14ac:dyDescent="0.35">
      <c r="E1" s="2"/>
      <c r="F1" s="2"/>
      <c r="G1" s="2"/>
      <c r="H1" s="2"/>
      <c r="I1" s="2"/>
      <c r="J1" s="72"/>
      <c r="K1" s="2"/>
      <c r="L1" s="2"/>
      <c r="M1" s="2"/>
    </row>
    <row r="2" spans="1:28" ht="21.75" customHeight="1" x14ac:dyDescent="0.35">
      <c r="B2" s="3"/>
      <c r="C2" s="3"/>
      <c r="D2" s="3"/>
      <c r="E2" s="19"/>
      <c r="F2" s="65"/>
      <c r="G2" s="65"/>
      <c r="H2" s="65"/>
      <c r="I2" s="65"/>
      <c r="J2" s="73"/>
      <c r="K2" s="65"/>
      <c r="L2" s="65"/>
      <c r="M2" s="65"/>
      <c r="N2" s="65"/>
      <c r="O2" s="65"/>
      <c r="P2" s="65"/>
      <c r="Q2" s="65"/>
    </row>
    <row r="3" spans="1:28" ht="17.25" customHeight="1" x14ac:dyDescent="0.35">
      <c r="B3" s="3"/>
      <c r="C3" s="3"/>
      <c r="D3" s="3"/>
      <c r="E3" s="19"/>
      <c r="F3" s="65"/>
      <c r="G3" s="65"/>
      <c r="H3" s="65"/>
      <c r="I3" s="65"/>
      <c r="J3" s="73"/>
      <c r="K3" s="65"/>
      <c r="L3" s="65"/>
      <c r="M3" s="65"/>
      <c r="N3" s="65"/>
      <c r="O3" s="65"/>
      <c r="P3" s="65"/>
    </row>
    <row r="4" spans="1:28" ht="17.25" customHeight="1" x14ac:dyDescent="0.35">
      <c r="B4" s="3"/>
      <c r="C4" s="3"/>
      <c r="D4" s="3"/>
      <c r="E4" s="19"/>
      <c r="F4" s="65"/>
      <c r="G4" s="65"/>
      <c r="H4" s="65"/>
      <c r="I4" s="65"/>
      <c r="J4" s="73"/>
      <c r="K4" s="65"/>
      <c r="L4" s="65"/>
      <c r="M4" s="65"/>
      <c r="N4" s="65"/>
      <c r="O4" s="65"/>
      <c r="P4" s="65"/>
    </row>
    <row r="5" spans="1:28" ht="22.5" customHeight="1" x14ac:dyDescent="0.35">
      <c r="B5" s="349" t="s">
        <v>378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</row>
    <row r="6" spans="1:28" ht="17.25" customHeight="1" x14ac:dyDescent="0.35">
      <c r="B6" s="3"/>
      <c r="C6" s="3"/>
      <c r="D6" s="3"/>
      <c r="E6" s="19"/>
      <c r="F6" s="62"/>
      <c r="G6" s="62"/>
      <c r="H6" s="62"/>
      <c r="I6" s="62"/>
      <c r="J6" s="74"/>
      <c r="K6" s="62"/>
      <c r="L6" s="62"/>
      <c r="M6" s="62"/>
      <c r="N6" s="62"/>
      <c r="O6" s="62"/>
      <c r="P6" s="62"/>
      <c r="Q6" s="62"/>
    </row>
    <row r="7" spans="1:28" ht="26.25" customHeight="1" x14ac:dyDescent="0.35">
      <c r="A7" s="3"/>
      <c r="B7" s="352" t="s">
        <v>17</v>
      </c>
      <c r="C7" s="353" t="s">
        <v>70</v>
      </c>
      <c r="D7" s="353"/>
      <c r="E7" s="353"/>
      <c r="F7" s="353"/>
      <c r="G7" s="353"/>
      <c r="H7" s="353"/>
      <c r="I7" s="353"/>
      <c r="J7" s="75"/>
      <c r="K7" s="353" t="s">
        <v>88</v>
      </c>
      <c r="L7" s="353"/>
      <c r="M7" s="353"/>
      <c r="N7" s="353"/>
      <c r="O7" s="353"/>
      <c r="P7" s="353"/>
      <c r="Q7" s="353"/>
      <c r="R7" s="197" t="s">
        <v>315</v>
      </c>
    </row>
    <row r="8" spans="1:28" ht="15" customHeight="1" x14ac:dyDescent="0.35">
      <c r="A8" s="3"/>
      <c r="B8" s="352"/>
      <c r="C8" s="350" t="s">
        <v>59</v>
      </c>
      <c r="D8" s="350" t="s">
        <v>60</v>
      </c>
      <c r="E8" s="352" t="s">
        <v>18</v>
      </c>
      <c r="F8" s="352"/>
      <c r="G8" s="186"/>
      <c r="H8" s="350" t="s">
        <v>61</v>
      </c>
      <c r="I8" s="350"/>
      <c r="J8" s="76"/>
      <c r="K8" s="350" t="s">
        <v>59</v>
      </c>
      <c r="L8" s="350" t="s">
        <v>62</v>
      </c>
      <c r="M8" s="350" t="s">
        <v>18</v>
      </c>
      <c r="N8" s="350"/>
      <c r="O8" s="186"/>
      <c r="P8" s="350" t="s">
        <v>71</v>
      </c>
      <c r="Q8" s="350"/>
      <c r="R8" s="3"/>
    </row>
    <row r="9" spans="1:28" ht="15" customHeight="1" x14ac:dyDescent="0.35">
      <c r="A9" s="3"/>
      <c r="B9" s="352"/>
      <c r="C9" s="350"/>
      <c r="D9" s="350"/>
      <c r="E9" s="353"/>
      <c r="F9" s="353"/>
      <c r="G9" s="187"/>
      <c r="H9" s="351"/>
      <c r="I9" s="351"/>
      <c r="J9" s="77"/>
      <c r="K9" s="350"/>
      <c r="L9" s="350"/>
      <c r="M9" s="351"/>
      <c r="N9" s="351"/>
      <c r="O9" s="187"/>
      <c r="P9" s="351"/>
      <c r="Q9" s="351"/>
      <c r="R9" s="4"/>
    </row>
    <row r="10" spans="1:28" ht="49.5" customHeight="1" x14ac:dyDescent="0.35">
      <c r="A10" s="3"/>
      <c r="B10" s="352"/>
      <c r="C10" s="350"/>
      <c r="D10" s="350"/>
      <c r="E10" s="187" t="s">
        <v>1</v>
      </c>
      <c r="F10" s="187" t="s">
        <v>0</v>
      </c>
      <c r="G10" s="187"/>
      <c r="H10" s="188" t="s">
        <v>85</v>
      </c>
      <c r="I10" s="188" t="s">
        <v>86</v>
      </c>
      <c r="J10" s="77"/>
      <c r="K10" s="350"/>
      <c r="L10" s="350"/>
      <c r="M10" s="187" t="s">
        <v>1</v>
      </c>
      <c r="N10" s="187" t="s">
        <v>0</v>
      </c>
      <c r="O10" s="187"/>
      <c r="P10" s="188" t="s">
        <v>85</v>
      </c>
      <c r="Q10" s="188" t="s">
        <v>86</v>
      </c>
      <c r="R10" s="4"/>
    </row>
    <row r="11" spans="1:28" x14ac:dyDescent="0.35">
      <c r="B11" s="189">
        <v>1960</v>
      </c>
      <c r="C11" s="38">
        <v>3023357.827</v>
      </c>
      <c r="D11" s="38">
        <f>77114679/1000</f>
        <v>77114.679000000004</v>
      </c>
      <c r="E11" s="191">
        <f>36245832/1000</f>
        <v>36245.832000000002</v>
      </c>
      <c r="F11" s="38">
        <f>40868847/1000</f>
        <v>40868.847000000002</v>
      </c>
      <c r="G11" s="15"/>
      <c r="H11" s="38">
        <v>33873.281000000003</v>
      </c>
      <c r="I11" s="38">
        <v>43241.398000000001</v>
      </c>
      <c r="J11" s="38"/>
      <c r="K11" s="16" t="s">
        <v>16</v>
      </c>
      <c r="L11" s="16" t="s">
        <v>16</v>
      </c>
      <c r="M11" s="194" t="s">
        <v>16</v>
      </c>
      <c r="N11" s="16" t="s">
        <v>16</v>
      </c>
      <c r="O11" s="16"/>
      <c r="P11" s="16" t="s">
        <v>16</v>
      </c>
      <c r="Q11" s="16" t="s">
        <v>16</v>
      </c>
      <c r="R11" s="78"/>
    </row>
    <row r="12" spans="1:28" x14ac:dyDescent="0.35">
      <c r="B12" s="189">
        <v>1965</v>
      </c>
      <c r="C12" s="38">
        <v>3331670.389</v>
      </c>
      <c r="D12" s="38">
        <f>80796968/1000</f>
        <v>80796.967999999993</v>
      </c>
      <c r="E12" s="191">
        <f>38240525/1000</f>
        <v>38240.525000000001</v>
      </c>
      <c r="F12" s="38">
        <f>42556443/1000</f>
        <v>42556.442999999999</v>
      </c>
      <c r="G12" s="15"/>
      <c r="H12" s="38">
        <v>37635.279000000002</v>
      </c>
      <c r="I12" s="38">
        <v>43161.688999999998</v>
      </c>
      <c r="J12" s="38"/>
      <c r="K12" s="17">
        <f>(((C12/C11)^0.2)-1)*100</f>
        <v>1.9610961161349083</v>
      </c>
      <c r="L12" s="17">
        <f>(((D12/D11)^0.2)-1)*100</f>
        <v>0.93728099358900696</v>
      </c>
      <c r="M12" s="195">
        <f>(((E12/E11)^0.2)-1)*100</f>
        <v>1.0771887845297812</v>
      </c>
      <c r="N12" s="17">
        <f>(((F12/F11)^0.2)-1)*100</f>
        <v>0.81254698165988959</v>
      </c>
      <c r="O12" s="17"/>
      <c r="P12" s="17">
        <f>(((H12/H11)^0.2)-1)*100</f>
        <v>2.128646198953521</v>
      </c>
      <c r="Q12" s="341">
        <f>(((I12/I11)^0.2)-1)*100</f>
        <v>-3.6894199257042626E-2</v>
      </c>
      <c r="R12" s="174"/>
      <c r="S12" s="79"/>
      <c r="T12" s="79"/>
    </row>
    <row r="13" spans="1:28" x14ac:dyDescent="0.35">
      <c r="B13" s="189">
        <v>1970</v>
      </c>
      <c r="C13" s="38">
        <v>3685776.6169999996</v>
      </c>
      <c r="D13" s="38">
        <f>84460125/1000</f>
        <v>84460.125</v>
      </c>
      <c r="E13" s="191">
        <f>40204253/1000</f>
        <v>40204.252999999997</v>
      </c>
      <c r="F13" s="38">
        <f>44255872/1000</f>
        <v>44255.872000000003</v>
      </c>
      <c r="G13" s="15"/>
      <c r="H13" s="38">
        <v>41085.302000000003</v>
      </c>
      <c r="I13" s="38">
        <v>43374.822999999997</v>
      </c>
      <c r="J13" s="38"/>
      <c r="K13" s="17">
        <f t="shared" ref="K13:K22" si="0">(((C13/C12)^0.2)-1)*100</f>
        <v>2.0406922692294938</v>
      </c>
      <c r="L13" s="17">
        <f t="shared" ref="L13:L22" si="1">(((D13/D12)^0.2)-1)*100</f>
        <v>0.89074552464234458</v>
      </c>
      <c r="M13" s="195">
        <f t="shared" ref="M13:M22" si="2">(((E13/E12)^0.2)-1)*100</f>
        <v>1.0065715689948629</v>
      </c>
      <c r="N13" s="17">
        <f t="shared" ref="N13:N22" si="3">(((F13/F12)^0.2)-1)*100</f>
        <v>0.78621048634668345</v>
      </c>
      <c r="O13" s="17"/>
      <c r="P13" s="17">
        <f t="shared" ref="P13:P22" si="4">(((H13/H12)^0.2)-1)*100</f>
        <v>1.7696471461280394</v>
      </c>
      <c r="Q13" s="341">
        <f t="shared" ref="Q13:Q22" si="5">(((I13/I12)^0.2)-1)*100</f>
        <v>9.8566234334507286E-2</v>
      </c>
      <c r="R13" s="17"/>
      <c r="S13" s="79"/>
      <c r="T13" s="79"/>
    </row>
    <row r="14" spans="1:28" x14ac:dyDescent="0.35">
      <c r="B14" s="189">
        <v>1975</v>
      </c>
      <c r="C14" s="38">
        <v>4061316.7859999998</v>
      </c>
      <c r="D14" s="38">
        <f>90368010/1000</f>
        <v>90368.01</v>
      </c>
      <c r="E14" s="191">
        <f>43149598/1000</f>
        <v>43149.597999999998</v>
      </c>
      <c r="F14" s="38">
        <f>47218412/1000</f>
        <v>47218.411999999997</v>
      </c>
      <c r="G14" s="15"/>
      <c r="H14" s="38">
        <v>46218.887999999999</v>
      </c>
      <c r="I14" s="38">
        <v>44149.122000000003</v>
      </c>
      <c r="J14" s="38"/>
      <c r="K14" s="17">
        <f t="shared" si="0"/>
        <v>1.9594704341680202</v>
      </c>
      <c r="L14" s="17">
        <f t="shared" si="1"/>
        <v>1.3613998616136769</v>
      </c>
      <c r="M14" s="195">
        <f t="shared" si="2"/>
        <v>1.4240506578566459</v>
      </c>
      <c r="N14" s="17">
        <f t="shared" si="3"/>
        <v>1.3043501529770074</v>
      </c>
      <c r="O14" s="17"/>
      <c r="P14" s="17">
        <f t="shared" si="4"/>
        <v>2.3827054995354535</v>
      </c>
      <c r="Q14" s="341">
        <f t="shared" si="5"/>
        <v>0.35450453691938666</v>
      </c>
      <c r="R14" s="17"/>
      <c r="S14" s="79"/>
      <c r="T14" s="79"/>
    </row>
    <row r="15" spans="1:28" x14ac:dyDescent="0.35">
      <c r="B15" s="189">
        <v>1980</v>
      </c>
      <c r="C15" s="38">
        <v>4437609.074</v>
      </c>
      <c r="D15" s="38">
        <f>101983149/1000</f>
        <v>101983.149</v>
      </c>
      <c r="E15" s="191">
        <f>48681481/1000</f>
        <v>48681.481</v>
      </c>
      <c r="F15" s="38">
        <f>53301668/1000</f>
        <v>53301.667999999998</v>
      </c>
      <c r="G15" s="15"/>
      <c r="H15" s="38">
        <v>50688.014000000003</v>
      </c>
      <c r="I15" s="38">
        <v>51295.135000000002</v>
      </c>
      <c r="J15" s="38"/>
      <c r="K15" s="17">
        <f t="shared" si="0"/>
        <v>1.787965739408226</v>
      </c>
      <c r="L15" s="17">
        <f t="shared" si="1"/>
        <v>2.4478243371299113</v>
      </c>
      <c r="M15" s="195">
        <f t="shared" si="2"/>
        <v>2.4418482998893376</v>
      </c>
      <c r="N15" s="17">
        <f t="shared" si="3"/>
        <v>2.4532841997387589</v>
      </c>
      <c r="O15" s="17"/>
      <c r="P15" s="17">
        <f t="shared" si="4"/>
        <v>1.8631627886919411</v>
      </c>
      <c r="Q15" s="341">
        <f t="shared" si="5"/>
        <v>3.0459247937082878</v>
      </c>
      <c r="R15" s="17"/>
      <c r="S15" s="79"/>
      <c r="T15" s="79"/>
    </row>
    <row r="16" spans="1:28" x14ac:dyDescent="0.35">
      <c r="B16" s="189">
        <v>1985</v>
      </c>
      <c r="C16" s="38">
        <v>4846247.0279999999</v>
      </c>
      <c r="D16" s="38">
        <f>113206691/1000</f>
        <v>113206.69100000001</v>
      </c>
      <c r="E16" s="191">
        <f>53869213/1000</f>
        <v>53869.213000000003</v>
      </c>
      <c r="F16" s="38">
        <f>59337478/1000</f>
        <v>59337.478000000003</v>
      </c>
      <c r="G16" s="15"/>
      <c r="H16" s="38">
        <v>55406.116000000002</v>
      </c>
      <c r="I16" s="38">
        <v>57800.574999999997</v>
      </c>
      <c r="J16" s="38"/>
      <c r="K16" s="17">
        <f t="shared" si="0"/>
        <v>1.7773880803743536</v>
      </c>
      <c r="L16" s="17">
        <f t="shared" si="1"/>
        <v>2.1101080354072987</v>
      </c>
      <c r="M16" s="195">
        <f t="shared" si="2"/>
        <v>2.0458552249270401</v>
      </c>
      <c r="N16" s="17">
        <f t="shared" si="3"/>
        <v>2.1686504412851582</v>
      </c>
      <c r="O16" s="17"/>
      <c r="P16" s="17">
        <f t="shared" si="4"/>
        <v>1.7959468472912743</v>
      </c>
      <c r="Q16" s="341">
        <f t="shared" si="5"/>
        <v>2.4167986081840009</v>
      </c>
      <c r="R16" s="17"/>
      <c r="S16" s="79"/>
      <c r="T16" s="79"/>
      <c r="U16" s="6"/>
      <c r="V16" s="6"/>
      <c r="W16" s="7"/>
      <c r="X16" s="8"/>
      <c r="Y16" s="6"/>
      <c r="Z16" s="6"/>
      <c r="AA16" s="4"/>
      <c r="AB16" s="4"/>
    </row>
    <row r="17" spans="1:28" x14ac:dyDescent="0.35">
      <c r="B17" s="189">
        <v>1990</v>
      </c>
      <c r="C17" s="38">
        <v>5327231.0609999998</v>
      </c>
      <c r="D17" s="38">
        <f>152986157/1000</f>
        <v>152986.15700000001</v>
      </c>
      <c r="E17" s="192">
        <f>75422690/1000</f>
        <v>75422.69</v>
      </c>
      <c r="F17" s="156">
        <f>77563467/1000</f>
        <v>77563.467000000004</v>
      </c>
      <c r="G17" s="15"/>
      <c r="H17" s="38">
        <f>82767210/1000</f>
        <v>82767.210000000006</v>
      </c>
      <c r="I17" s="38">
        <f>70218947/1000</f>
        <v>70218.947</v>
      </c>
      <c r="J17" s="38"/>
      <c r="K17" s="17">
        <f t="shared" si="0"/>
        <v>1.9105621663041195</v>
      </c>
      <c r="L17" s="17">
        <f t="shared" si="1"/>
        <v>6.2077009321060528</v>
      </c>
      <c r="M17" s="195">
        <f t="shared" si="2"/>
        <v>6.9626803818051863</v>
      </c>
      <c r="N17" s="17">
        <f t="shared" si="3"/>
        <v>5.50319843912912</v>
      </c>
      <c r="O17" s="17"/>
      <c r="P17" s="17">
        <f t="shared" si="4"/>
        <v>8.3577857412474152</v>
      </c>
      <c r="Q17" s="341">
        <f t="shared" si="5"/>
        <v>3.9691349974329659</v>
      </c>
      <c r="R17" s="17"/>
      <c r="S17" s="79"/>
      <c r="T17" s="79"/>
      <c r="U17" s="6"/>
      <c r="V17" s="6"/>
      <c r="W17" s="7"/>
      <c r="X17" s="8"/>
      <c r="Y17" s="6"/>
      <c r="Z17" s="6"/>
      <c r="AA17" s="4"/>
      <c r="AB17" s="4"/>
    </row>
    <row r="18" spans="1:28" x14ac:dyDescent="0.35">
      <c r="B18" s="189">
        <v>1995</v>
      </c>
      <c r="C18" s="38">
        <v>5744212.9790000003</v>
      </c>
      <c r="D18" s="38">
        <f>161289976/1000</f>
        <v>161289.976</v>
      </c>
      <c r="E18" s="191">
        <f>79708475/1000</f>
        <v>79708.475000000006</v>
      </c>
      <c r="F18" s="38">
        <f>81581501/1000</f>
        <v>81581.501000000004</v>
      </c>
      <c r="G18" s="15"/>
      <c r="H18" s="38">
        <f>92935093/1000</f>
        <v>92935.092999999993</v>
      </c>
      <c r="I18" s="38">
        <f>68354883/1000</f>
        <v>68354.883000000002</v>
      </c>
      <c r="J18" s="38"/>
      <c r="K18" s="17">
        <f t="shared" si="0"/>
        <v>1.5186420784759624</v>
      </c>
      <c r="L18" s="17">
        <f t="shared" si="1"/>
        <v>1.0627352981837479</v>
      </c>
      <c r="M18" s="195">
        <f t="shared" si="2"/>
        <v>1.1114867870061662</v>
      </c>
      <c r="N18" s="17">
        <f t="shared" si="3"/>
        <v>1.0152389855774047</v>
      </c>
      <c r="O18" s="17"/>
      <c r="P18" s="17">
        <f t="shared" si="4"/>
        <v>2.3444471656977051</v>
      </c>
      <c r="Q18" s="341">
        <f t="shared" si="5"/>
        <v>-0.53665828007016803</v>
      </c>
      <c r="R18" s="17"/>
      <c r="S18" s="79"/>
      <c r="T18" s="79"/>
      <c r="U18" s="4"/>
      <c r="V18" s="4"/>
      <c r="W18" s="7"/>
      <c r="X18" s="4"/>
      <c r="Y18" s="4"/>
      <c r="Z18" s="4"/>
      <c r="AA18" s="4"/>
      <c r="AB18" s="4"/>
    </row>
    <row r="19" spans="1:28" x14ac:dyDescent="0.35">
      <c r="B19" s="189">
        <v>2000</v>
      </c>
      <c r="C19" s="38">
        <v>6143493.8229999999</v>
      </c>
      <c r="D19" s="38">
        <f>173230585/1000</f>
        <v>173230.58499999999</v>
      </c>
      <c r="E19" s="192">
        <f>85510752/1000</f>
        <v>85510.751999999993</v>
      </c>
      <c r="F19" s="156">
        <f>87719833/1000</f>
        <v>87719.832999999999</v>
      </c>
      <c r="G19" s="15"/>
      <c r="H19" s="38">
        <f>103962010/1000</f>
        <v>103962.01</v>
      </c>
      <c r="I19" s="38">
        <f>69268575/1000</f>
        <v>69268.574999999997</v>
      </c>
      <c r="J19" s="38"/>
      <c r="K19" s="17">
        <f t="shared" si="0"/>
        <v>1.3530864128807218</v>
      </c>
      <c r="L19" s="17">
        <f t="shared" si="1"/>
        <v>1.4386449058800377</v>
      </c>
      <c r="M19" s="195">
        <f t="shared" si="2"/>
        <v>1.4152452198418652</v>
      </c>
      <c r="N19" s="17">
        <f t="shared" si="3"/>
        <v>1.461486525157496</v>
      </c>
      <c r="O19" s="17"/>
      <c r="P19" s="17">
        <f t="shared" si="4"/>
        <v>2.2678170709118151</v>
      </c>
      <c r="Q19" s="341">
        <f t="shared" si="5"/>
        <v>0.26591970923983688</v>
      </c>
      <c r="R19" s="17"/>
      <c r="S19" s="79"/>
      <c r="T19" s="79"/>
      <c r="U19" s="4"/>
      <c r="V19" s="4"/>
      <c r="W19" s="4"/>
      <c r="X19" s="4"/>
      <c r="Y19" s="4"/>
      <c r="Z19" s="4"/>
      <c r="AA19" s="4"/>
      <c r="AB19" s="4"/>
    </row>
    <row r="20" spans="1:28" x14ac:dyDescent="0.35">
      <c r="B20" s="189">
        <v>2005</v>
      </c>
      <c r="C20" s="38">
        <v>6541907.0270000007</v>
      </c>
      <c r="D20" s="38">
        <f>191446828/1000</f>
        <v>191446.82800000001</v>
      </c>
      <c r="E20" s="191">
        <f>93783747/1000</f>
        <v>93783.747000000003</v>
      </c>
      <c r="F20" s="38">
        <f>97663081/1000</f>
        <v>97663.081000000006</v>
      </c>
      <c r="G20" s="15"/>
      <c r="H20" s="38">
        <f>116678357/1000</f>
        <v>116678.357</v>
      </c>
      <c r="I20" s="38">
        <f>74768471/1000</f>
        <v>74768.471000000005</v>
      </c>
      <c r="J20" s="38"/>
      <c r="K20" s="17">
        <f t="shared" si="0"/>
        <v>1.2646318935823908</v>
      </c>
      <c r="L20" s="17">
        <f t="shared" si="1"/>
        <v>2.0198593891882277</v>
      </c>
      <c r="M20" s="195">
        <f t="shared" si="2"/>
        <v>1.8641512526711868</v>
      </c>
      <c r="N20" s="17">
        <f t="shared" si="3"/>
        <v>2.1707367203883887</v>
      </c>
      <c r="O20" s="17"/>
      <c r="P20" s="17">
        <f t="shared" si="4"/>
        <v>2.3347487165146896</v>
      </c>
      <c r="Q20" s="341">
        <f t="shared" si="5"/>
        <v>1.5398340354830342</v>
      </c>
      <c r="R20" s="17"/>
      <c r="S20" s="79"/>
      <c r="T20" s="79"/>
      <c r="U20" s="4"/>
      <c r="V20" s="4"/>
      <c r="W20" s="4"/>
      <c r="X20" s="4"/>
      <c r="Y20" s="4"/>
      <c r="Z20" s="4"/>
      <c r="AA20" s="4"/>
      <c r="AB20" s="4"/>
    </row>
    <row r="21" spans="1:28" x14ac:dyDescent="0.35">
      <c r="B21" s="189">
        <v>2010</v>
      </c>
      <c r="C21" s="38">
        <v>6956823.6030000011</v>
      </c>
      <c r="D21" s="38">
        <f>220983187/1000</f>
        <v>220983.18700000001</v>
      </c>
      <c r="E21" s="192">
        <f>107042306/1000</f>
        <v>107042.306</v>
      </c>
      <c r="F21" s="156">
        <f>113940881/1000</f>
        <v>113940.88099999999</v>
      </c>
      <c r="G21" s="15"/>
      <c r="H21" s="38">
        <f>130562258/1000</f>
        <v>130562.258</v>
      </c>
      <c r="I21" s="38">
        <f>90420929/1000</f>
        <v>90420.929000000004</v>
      </c>
      <c r="J21" s="38"/>
      <c r="K21" s="17">
        <f t="shared" si="0"/>
        <v>1.237479672588182</v>
      </c>
      <c r="L21" s="17">
        <f t="shared" si="1"/>
        <v>2.9110979096236278</v>
      </c>
      <c r="M21" s="195">
        <f t="shared" si="2"/>
        <v>2.6799326695490233</v>
      </c>
      <c r="N21" s="17">
        <f t="shared" si="3"/>
        <v>3.1311428537662112</v>
      </c>
      <c r="O21" s="17"/>
      <c r="P21" s="17">
        <f t="shared" si="4"/>
        <v>2.2740536130421818</v>
      </c>
      <c r="Q21" s="341">
        <f t="shared" si="5"/>
        <v>3.8747742741994662</v>
      </c>
      <c r="R21" s="17"/>
      <c r="S21" s="79"/>
      <c r="T21" s="79"/>
      <c r="U21" s="4"/>
      <c r="V21" s="4"/>
      <c r="W21" s="4"/>
      <c r="X21" s="4"/>
      <c r="Y21" s="4"/>
      <c r="Z21" s="4"/>
      <c r="AA21" s="4"/>
      <c r="AB21" s="4"/>
    </row>
    <row r="22" spans="1:28" x14ac:dyDescent="0.35">
      <c r="B22" s="189">
        <v>2015</v>
      </c>
      <c r="C22" s="38">
        <v>7379797.1389999986</v>
      </c>
      <c r="D22" s="38">
        <f>247958644/1000</f>
        <v>247958.644</v>
      </c>
      <c r="E22" s="191">
        <f>119720586/1000</f>
        <v>119720.586</v>
      </c>
      <c r="F22" s="38">
        <f>128238058/1000</f>
        <v>128238.058</v>
      </c>
      <c r="G22" s="15"/>
      <c r="H22" s="38">
        <f>140394479/1000</f>
        <v>140394.47899999999</v>
      </c>
      <c r="I22" s="38">
        <f>107564165/1000</f>
        <v>107564.16499999999</v>
      </c>
      <c r="J22" s="38"/>
      <c r="K22" s="17">
        <f t="shared" si="0"/>
        <v>1.1874581438176435</v>
      </c>
      <c r="L22" s="17">
        <f t="shared" si="1"/>
        <v>2.3302426644473684</v>
      </c>
      <c r="M22" s="195">
        <f t="shared" si="2"/>
        <v>2.2639763533477852</v>
      </c>
      <c r="N22" s="17">
        <f t="shared" si="3"/>
        <v>2.392340878209942</v>
      </c>
      <c r="O22" s="17"/>
      <c r="P22" s="17">
        <f t="shared" si="4"/>
        <v>1.4627141097224516</v>
      </c>
      <c r="Q22" s="341">
        <f t="shared" si="5"/>
        <v>3.5332218661598969</v>
      </c>
      <c r="R22" s="17"/>
      <c r="S22" s="79"/>
      <c r="T22" s="79"/>
      <c r="U22" s="4"/>
      <c r="V22" s="4"/>
      <c r="W22" s="4"/>
      <c r="X22" s="4"/>
      <c r="Y22" s="4"/>
      <c r="Z22" s="4"/>
      <c r="AA22" s="4"/>
      <c r="AB22" s="4"/>
    </row>
    <row r="23" spans="1:28" x14ac:dyDescent="0.35">
      <c r="B23" s="190">
        <v>2020</v>
      </c>
      <c r="C23" s="159">
        <v>7794799</v>
      </c>
      <c r="D23" s="159">
        <f>280598105/1000</f>
        <v>280598.10499999998</v>
      </c>
      <c r="E23" s="193">
        <f>134942261/1000</f>
        <v>134942.261</v>
      </c>
      <c r="F23" s="157">
        <f>145655844/1000</f>
        <v>145655.84400000001</v>
      </c>
      <c r="G23" s="68"/>
      <c r="H23" s="158">
        <f>157253443/1000</f>
        <v>157253.443</v>
      </c>
      <c r="I23" s="158">
        <f>123344662/1000</f>
        <v>123344.662</v>
      </c>
      <c r="J23" s="113"/>
      <c r="K23" s="69">
        <f>(((C23/C22)^0.2)-1)*100</f>
        <v>1.1002197093697319</v>
      </c>
      <c r="L23" s="69">
        <f>(((D23/D22)^0.2)-1)*100</f>
        <v>2.5040668114983955</v>
      </c>
      <c r="M23" s="196">
        <f>(((E23/E22)^0.2)-1)*100</f>
        <v>2.4226079064559203</v>
      </c>
      <c r="N23" s="69">
        <f>(((F23/F22)^0.2)-1)*100</f>
        <v>2.579882271332834</v>
      </c>
      <c r="O23" s="68"/>
      <c r="P23" s="69">
        <f>(((H23/H22)^0.2)-1)*100</f>
        <v>2.2939683265174038</v>
      </c>
      <c r="Q23" s="69">
        <f>(((I23/I22)^0.2)-1)*100</f>
        <v>2.7757251747820844</v>
      </c>
      <c r="R23" s="17"/>
      <c r="S23" s="79"/>
      <c r="T23" s="79"/>
      <c r="U23" s="4"/>
      <c r="V23" s="4"/>
      <c r="W23" s="4"/>
      <c r="X23" s="4"/>
      <c r="Y23" s="4"/>
      <c r="Z23" s="4"/>
      <c r="AA23" s="4"/>
      <c r="AB23" s="4"/>
    </row>
    <row r="24" spans="1:28" x14ac:dyDescent="0.35">
      <c r="A24" s="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s="18" customFormat="1" ht="15" customHeight="1" x14ac:dyDescent="0.25">
      <c r="B25" s="241" t="s">
        <v>74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</row>
    <row r="26" spans="1:28" s="18" customFormat="1" ht="15" customHeight="1" x14ac:dyDescent="0.25">
      <c r="B26" s="241" t="s">
        <v>31</v>
      </c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</row>
    <row r="27" spans="1:28" s="18" customFormat="1" ht="15" customHeight="1" x14ac:dyDescent="0.25">
      <c r="B27" s="175" t="s">
        <v>87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28" s="18" customFormat="1" ht="15" customHeight="1" x14ac:dyDescent="0.25">
      <c r="B28" s="175" t="s">
        <v>317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28" s="18" customFormat="1" ht="15" customHeight="1" x14ac:dyDescent="0.25">
      <c r="B29" s="175" t="s">
        <v>320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28" s="18" customFormat="1" ht="15" customHeight="1" x14ac:dyDescent="0.25">
      <c r="B30" s="175" t="s">
        <v>316</v>
      </c>
      <c r="C30" s="175"/>
      <c r="D30" s="175"/>
      <c r="E30" s="175"/>
      <c r="F30" s="175"/>
      <c r="G30" s="175"/>
      <c r="H30" s="175"/>
      <c r="I30" s="175"/>
      <c r="J30" s="175"/>
      <c r="K30" s="175"/>
      <c r="L30" s="71"/>
      <c r="M30" s="71"/>
      <c r="N30" s="11"/>
      <c r="O30" s="12"/>
    </row>
    <row r="31" spans="1:28" s="18" customFormat="1" ht="32.25" customHeight="1" x14ac:dyDescent="0.25">
      <c r="B31" s="348" t="s">
        <v>321</v>
      </c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71"/>
      <c r="N31" s="71"/>
      <c r="O31" s="11"/>
    </row>
    <row r="32" spans="1:28" s="18" customFormat="1" ht="12.75" x14ac:dyDescent="0.25">
      <c r="B32" s="71"/>
      <c r="C32" s="71"/>
      <c r="D32" s="71"/>
      <c r="E32" s="71"/>
      <c r="F32" s="71"/>
      <c r="G32" s="71"/>
      <c r="H32" s="71"/>
      <c r="I32" s="122"/>
      <c r="J32" s="71"/>
      <c r="K32" s="71"/>
      <c r="L32" s="71"/>
      <c r="M32" s="71"/>
      <c r="N32" s="71"/>
      <c r="O32" s="11"/>
    </row>
    <row r="33" spans="2:15" hidden="1" x14ac:dyDescent="0.35">
      <c r="B33" s="4"/>
      <c r="C33" s="4"/>
      <c r="D33" s="4"/>
      <c r="E33" s="4"/>
      <c r="F33" s="4"/>
      <c r="G33" s="4"/>
      <c r="H33" s="4"/>
      <c r="I33" s="14"/>
      <c r="J33" s="4"/>
      <c r="K33" s="4"/>
      <c r="L33" s="4"/>
      <c r="M33" s="4"/>
      <c r="N33" s="4"/>
      <c r="O33" s="11"/>
    </row>
    <row r="34" spans="2:15" hidden="1" x14ac:dyDescent="0.35">
      <c r="B34" s="4"/>
      <c r="C34" s="4"/>
      <c r="D34" s="4"/>
      <c r="E34" s="4"/>
      <c r="F34" s="4"/>
      <c r="G34" s="4"/>
      <c r="I34" s="14"/>
      <c r="J34" s="4"/>
      <c r="K34" s="4"/>
      <c r="L34" s="4"/>
      <c r="M34" s="4"/>
      <c r="N34" s="4"/>
      <c r="O34" s="4"/>
    </row>
    <row r="35" spans="2:15" hidden="1" x14ac:dyDescent="0.35">
      <c r="B35" s="4"/>
      <c r="C35" s="4"/>
      <c r="D35" s="4"/>
      <c r="E35" s="4"/>
      <c r="F35" s="4"/>
      <c r="G35" s="4"/>
      <c r="H35" s="13"/>
      <c r="I35" s="14"/>
      <c r="J35" s="4"/>
      <c r="K35" s="4"/>
      <c r="L35" s="4"/>
      <c r="M35" s="4"/>
    </row>
    <row r="36" spans="2:15" hidden="1" x14ac:dyDescent="0.35">
      <c r="B36" s="4"/>
      <c r="C36" s="4"/>
      <c r="D36" s="4"/>
      <c r="E36" s="4"/>
      <c r="F36" s="4"/>
      <c r="G36" s="4"/>
      <c r="H36" s="4"/>
      <c r="I36" s="14"/>
      <c r="J36" s="4"/>
      <c r="K36" s="4"/>
      <c r="L36" s="4"/>
      <c r="M36" s="4"/>
    </row>
    <row r="37" spans="2:15" hidden="1" x14ac:dyDescent="0.35">
      <c r="B37" s="4"/>
      <c r="C37" s="4"/>
      <c r="D37" s="4"/>
      <c r="E37" s="155"/>
      <c r="F37" s="4"/>
      <c r="G37" s="4"/>
      <c r="H37" s="4"/>
      <c r="I37" s="14"/>
      <c r="J37" s="4"/>
      <c r="K37" s="4"/>
      <c r="L37" s="4"/>
      <c r="M37" s="4"/>
    </row>
    <row r="38" spans="2:15" hidden="1" x14ac:dyDescent="0.35">
      <c r="B38" s="4"/>
      <c r="C38" s="4"/>
      <c r="D38" s="4"/>
      <c r="E38" s="4"/>
      <c r="F38" s="4"/>
      <c r="G38" s="4"/>
      <c r="H38" s="4"/>
      <c r="I38" s="14"/>
      <c r="J38" s="4"/>
      <c r="K38" s="4"/>
      <c r="L38" s="4"/>
      <c r="M38" s="4"/>
    </row>
  </sheetData>
  <mergeCells count="13">
    <mergeCell ref="B31:L31"/>
    <mergeCell ref="B5:Q5"/>
    <mergeCell ref="M8:N9"/>
    <mergeCell ref="P8:Q9"/>
    <mergeCell ref="B7:B10"/>
    <mergeCell ref="C7:I7"/>
    <mergeCell ref="K7:Q7"/>
    <mergeCell ref="C8:C10"/>
    <mergeCell ref="D8:D10"/>
    <mergeCell ref="E8:F9"/>
    <mergeCell ref="H8:I9"/>
    <mergeCell ref="K8:K10"/>
    <mergeCell ref="L8:L10"/>
  </mergeCells>
  <hyperlinks>
    <hyperlink ref="R7" location="Indice!A1" display="Volver"/>
  </hyperlink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Normal="100" workbookViewId="0">
      <pane xSplit="1" ySplit="9" topLeftCell="B58" activePane="bottomRight" state="frozen"/>
      <selection activeCell="C7" sqref="C7:N7"/>
      <selection pane="topRight" activeCell="C7" sqref="C7:N7"/>
      <selection pane="bottomLeft" activeCell="C7" sqref="C7:N7"/>
      <selection pane="bottomRight" activeCell="C7" sqref="C7:N7"/>
    </sheetView>
  </sheetViews>
  <sheetFormatPr baseColWidth="10" defaultColWidth="0" defaultRowHeight="18" zeroHeight="1" x14ac:dyDescent="0.35"/>
  <cols>
    <col min="1" max="1" width="2.85546875" style="1" customWidth="1"/>
    <col min="2" max="2" width="21.42578125" style="1" customWidth="1"/>
    <col min="3" max="3" width="3.28515625" style="1" customWidth="1"/>
    <col min="4" max="4" width="15.7109375" style="1" customWidth="1"/>
    <col min="5" max="5" width="3.140625" style="1" customWidth="1"/>
    <col min="6" max="6" width="15.7109375" style="1" customWidth="1"/>
    <col min="7" max="7" width="3.28515625" style="1" customWidth="1"/>
    <col min="8" max="8" width="17.140625" style="1" customWidth="1"/>
    <col min="9" max="9" width="4.140625" style="1" customWidth="1"/>
    <col min="10" max="10" width="16.7109375" style="1" customWidth="1"/>
    <col min="11" max="11" width="11.42578125" style="1" customWidth="1"/>
    <col min="12" max="12" width="11.42578125" style="1" hidden="1" customWidth="1"/>
    <col min="13" max="14" width="0" style="1" hidden="1" customWidth="1"/>
    <col min="15" max="16384" width="11.42578125" style="1" hidden="1"/>
  </cols>
  <sheetData>
    <row r="1" spans="1:14" ht="15" customHeight="1" x14ac:dyDescent="0.35">
      <c r="B1" s="3"/>
      <c r="C1" s="3"/>
      <c r="D1" s="27"/>
      <c r="E1" s="27"/>
      <c r="F1" s="27"/>
      <c r="G1" s="27"/>
      <c r="H1" s="27"/>
      <c r="I1" s="27"/>
      <c r="J1" s="27"/>
    </row>
    <row r="2" spans="1:14" ht="18.75" x14ac:dyDescent="0.35">
      <c r="B2" s="3"/>
      <c r="C2" s="3"/>
      <c r="E2" s="65"/>
      <c r="F2" s="65"/>
      <c r="G2" s="65"/>
      <c r="H2" s="65"/>
      <c r="I2" s="65"/>
      <c r="J2" s="65"/>
    </row>
    <row r="3" spans="1:14" ht="18.75" x14ac:dyDescent="0.35">
      <c r="B3" s="3"/>
      <c r="C3" s="3"/>
      <c r="D3" s="65"/>
      <c r="E3" s="65"/>
      <c r="F3" s="65"/>
      <c r="G3" s="65"/>
      <c r="H3" s="65"/>
      <c r="I3" s="65"/>
      <c r="J3" s="65"/>
    </row>
    <row r="4" spans="1:14" ht="18.75" x14ac:dyDescent="0.35">
      <c r="B4" s="3"/>
      <c r="C4" s="3"/>
      <c r="D4" s="65"/>
      <c r="E4" s="65"/>
      <c r="F4" s="65"/>
      <c r="G4" s="65"/>
      <c r="H4" s="65"/>
      <c r="I4" s="65"/>
      <c r="J4" s="65"/>
    </row>
    <row r="5" spans="1:14" ht="22.5" customHeight="1" x14ac:dyDescent="0.35">
      <c r="B5" s="349" t="s">
        <v>310</v>
      </c>
      <c r="C5" s="349"/>
      <c r="D5" s="349"/>
      <c r="E5" s="349"/>
      <c r="F5" s="349"/>
      <c r="G5" s="349"/>
      <c r="H5" s="349"/>
      <c r="I5" s="349"/>
      <c r="J5" s="349"/>
    </row>
    <row r="6" spans="1:14" ht="18.75" x14ac:dyDescent="0.35">
      <c r="B6" s="3"/>
      <c r="C6" s="3"/>
      <c r="D6" s="65"/>
      <c r="E6" s="62"/>
      <c r="F6" s="62"/>
      <c r="G6" s="62"/>
      <c r="H6" s="62"/>
      <c r="I6" s="62"/>
      <c r="J6" s="62"/>
    </row>
    <row r="7" spans="1:14" ht="24.75" customHeight="1" x14ac:dyDescent="0.35">
      <c r="B7" s="350" t="s">
        <v>285</v>
      </c>
      <c r="C7" s="198"/>
      <c r="D7" s="350" t="s">
        <v>67</v>
      </c>
      <c r="E7" s="199"/>
      <c r="F7" s="350" t="s">
        <v>69</v>
      </c>
      <c r="G7" s="200"/>
      <c r="H7" s="350" t="s">
        <v>55</v>
      </c>
      <c r="I7" s="200"/>
      <c r="J7" s="350" t="s">
        <v>56</v>
      </c>
      <c r="K7" s="215" t="s">
        <v>315</v>
      </c>
    </row>
    <row r="8" spans="1:14" ht="36" customHeight="1" x14ac:dyDescent="0.35">
      <c r="B8" s="350"/>
      <c r="C8" s="201"/>
      <c r="D8" s="350"/>
      <c r="E8" s="187"/>
      <c r="F8" s="350"/>
      <c r="G8" s="187"/>
      <c r="H8" s="350"/>
      <c r="I8" s="187"/>
      <c r="J8" s="350"/>
      <c r="K8" s="354"/>
      <c r="L8" s="354"/>
    </row>
    <row r="9" spans="1:14" s="20" customFormat="1" x14ac:dyDescent="0.35">
      <c r="A9" s="4"/>
      <c r="B9" s="202" t="s">
        <v>287</v>
      </c>
      <c r="C9" s="203"/>
      <c r="D9" s="204">
        <v>7794799</v>
      </c>
      <c r="E9" s="203"/>
      <c r="F9" s="204">
        <f>280598105/1000</f>
        <v>280598.10499999998</v>
      </c>
      <c r="G9" s="205"/>
      <c r="H9" s="206">
        <f>(F9/D9)*100</f>
        <v>3.599811938704256</v>
      </c>
      <c r="I9" s="205"/>
      <c r="J9" s="207">
        <f>SUM(J10:J11)</f>
        <v>100</v>
      </c>
      <c r="K9" s="112"/>
      <c r="L9" s="112"/>
    </row>
    <row r="10" spans="1:14" s="20" customFormat="1" x14ac:dyDescent="0.35">
      <c r="A10" s="4"/>
      <c r="B10" s="45" t="s">
        <v>0</v>
      </c>
      <c r="C10" s="46"/>
      <c r="D10" s="160">
        <v>3929974</v>
      </c>
      <c r="E10" s="46"/>
      <c r="F10" s="162">
        <f>145655844/1000</f>
        <v>145655.84400000001</v>
      </c>
      <c r="G10" s="16"/>
      <c r="H10" s="17">
        <f>(F10/D10)*100</f>
        <v>3.7062800924382708</v>
      </c>
      <c r="I10" s="29"/>
      <c r="J10" s="17">
        <f>(F10/$F$9)*100</f>
        <v>51.909061894769394</v>
      </c>
      <c r="K10" s="113"/>
      <c r="L10" s="47"/>
    </row>
    <row r="11" spans="1:14" s="20" customFormat="1" x14ac:dyDescent="0.35">
      <c r="A11" s="4"/>
      <c r="B11" s="45" t="s">
        <v>1</v>
      </c>
      <c r="C11" s="46"/>
      <c r="D11" s="160">
        <v>3864825</v>
      </c>
      <c r="E11" s="46"/>
      <c r="F11" s="163">
        <f>134942261/1000</f>
        <v>134942.261</v>
      </c>
      <c r="G11" s="16"/>
      <c r="H11" s="17">
        <f>(F11/D11)*100</f>
        <v>3.4915490610829729</v>
      </c>
      <c r="I11" s="29"/>
      <c r="J11" s="17">
        <f>(F11/$F$9)*100</f>
        <v>48.090938105230613</v>
      </c>
      <c r="K11" s="113"/>
      <c r="L11" s="47"/>
    </row>
    <row r="12" spans="1:14" s="20" customFormat="1" x14ac:dyDescent="0.35">
      <c r="A12" s="4"/>
      <c r="B12" s="208" t="s">
        <v>286</v>
      </c>
      <c r="C12" s="209"/>
      <c r="D12" s="210">
        <f>SUM(D13:D28)</f>
        <v>7794799</v>
      </c>
      <c r="E12" s="209"/>
      <c r="F12" s="211">
        <f t="shared" ref="F12" si="0">SUM(F13:F28)</f>
        <v>280598.10499999998</v>
      </c>
      <c r="G12" s="194"/>
      <c r="H12" s="212">
        <f>F12*100/D12</f>
        <v>3.5998119387042564</v>
      </c>
      <c r="I12" s="213"/>
      <c r="J12" s="212">
        <f>SUM(J13:J28)</f>
        <v>100.00000000000001</v>
      </c>
      <c r="K12" s="113"/>
      <c r="L12" s="112"/>
    </row>
    <row r="13" spans="1:14" s="20" customFormat="1" x14ac:dyDescent="0.35">
      <c r="A13" s="4"/>
      <c r="B13" s="49" t="s">
        <v>3</v>
      </c>
      <c r="C13" s="50"/>
      <c r="D13" s="160">
        <v>677942</v>
      </c>
      <c r="E13" s="15"/>
      <c r="F13" s="163">
        <f>8226578/1000</f>
        <v>8226.5779999999995</v>
      </c>
      <c r="G13" s="16"/>
      <c r="H13" s="17">
        <f>(F13/D13)*100</f>
        <v>1.2134633936236432</v>
      </c>
      <c r="I13" s="29"/>
      <c r="J13" s="17">
        <f>(F13/$F$9)*100</f>
        <v>2.9318009827614477</v>
      </c>
      <c r="K13" s="113"/>
      <c r="L13" s="47"/>
    </row>
    <row r="14" spans="1:14" s="20" customFormat="1" x14ac:dyDescent="0.35">
      <c r="A14" s="4"/>
      <c r="B14" s="51" t="s">
        <v>4</v>
      </c>
      <c r="C14" s="52"/>
      <c r="D14" s="160">
        <v>664439</v>
      </c>
      <c r="E14" s="52"/>
      <c r="F14" s="163">
        <f>9969159/1000</f>
        <v>9969.1589999999997</v>
      </c>
      <c r="G14" s="16"/>
      <c r="H14" s="17">
        <f t="shared" ref="H14:H45" si="1">(F14/D14)*100</f>
        <v>1.5003873944786503</v>
      </c>
      <c r="I14" s="29"/>
      <c r="J14" s="17">
        <f t="shared" ref="J14:J28" si="2">(F14/$F$9)*100</f>
        <v>3.5528247776299136</v>
      </c>
      <c r="K14" s="113"/>
      <c r="L14" s="47"/>
    </row>
    <row r="15" spans="1:14" s="20" customFormat="1" x14ac:dyDescent="0.35">
      <c r="A15" s="4"/>
      <c r="B15" s="51" t="s">
        <v>5</v>
      </c>
      <c r="C15" s="52"/>
      <c r="D15" s="160">
        <v>641267</v>
      </c>
      <c r="E15" s="15"/>
      <c r="F15" s="163">
        <f>10212634/1000</f>
        <v>10212.634</v>
      </c>
      <c r="G15" s="16"/>
      <c r="H15" s="17">
        <f t="shared" si="1"/>
        <v>1.5925712690657714</v>
      </c>
      <c r="I15" s="29"/>
      <c r="J15" s="17">
        <f t="shared" si="2"/>
        <v>3.6395947862869567</v>
      </c>
      <c r="K15" s="113"/>
      <c r="L15" s="47"/>
      <c r="M15" s="114"/>
      <c r="N15" s="114"/>
    </row>
    <row r="16" spans="1:14" s="20" customFormat="1" x14ac:dyDescent="0.35">
      <c r="A16" s="4"/>
      <c r="B16" s="51" t="s">
        <v>6</v>
      </c>
      <c r="C16" s="52"/>
      <c r="D16" s="160">
        <v>612196</v>
      </c>
      <c r="E16" s="15"/>
      <c r="F16" s="163">
        <f>12529837/1000</f>
        <v>12529.837</v>
      </c>
      <c r="G16" s="16"/>
      <c r="H16" s="17">
        <f t="shared" si="1"/>
        <v>2.0467035067200703</v>
      </c>
      <c r="I16" s="29"/>
      <c r="J16" s="17">
        <f t="shared" si="2"/>
        <v>4.4654032855995238</v>
      </c>
      <c r="K16" s="113"/>
      <c r="L16" s="47"/>
      <c r="M16" s="115"/>
      <c r="N16" s="113"/>
    </row>
    <row r="17" spans="1:14" s="20" customFormat="1" x14ac:dyDescent="0.35">
      <c r="A17" s="4"/>
      <c r="B17" s="49" t="s">
        <v>7</v>
      </c>
      <c r="C17" s="50"/>
      <c r="D17" s="160">
        <v>597388</v>
      </c>
      <c r="E17" s="15"/>
      <c r="F17" s="163">
        <f>19141706/1000</f>
        <v>19141.705999999998</v>
      </c>
      <c r="G17" s="16"/>
      <c r="H17" s="17">
        <f t="shared" si="1"/>
        <v>3.2042334295298867</v>
      </c>
      <c r="I17" s="29"/>
      <c r="J17" s="17">
        <f t="shared" si="2"/>
        <v>6.8217517007108794</v>
      </c>
      <c r="K17" s="113"/>
      <c r="L17" s="47"/>
    </row>
    <row r="18" spans="1:14" s="20" customFormat="1" x14ac:dyDescent="0.35">
      <c r="A18" s="4"/>
      <c r="B18" s="49" t="s">
        <v>8</v>
      </c>
      <c r="C18" s="50"/>
      <c r="D18" s="160">
        <v>594692</v>
      </c>
      <c r="E18" s="50"/>
      <c r="F18" s="163">
        <f>26315409/1000</f>
        <v>26315.409</v>
      </c>
      <c r="G18" s="16"/>
      <c r="H18" s="17">
        <f t="shared" si="1"/>
        <v>4.4250484284301788</v>
      </c>
      <c r="I18" s="29"/>
      <c r="J18" s="17">
        <f t="shared" si="2"/>
        <v>9.3783274124392264</v>
      </c>
      <c r="K18" s="113"/>
      <c r="L18" s="47"/>
    </row>
    <row r="19" spans="1:14" s="20" customFormat="1" x14ac:dyDescent="0.35">
      <c r="A19" s="4"/>
      <c r="B19" s="49" t="s">
        <v>9</v>
      </c>
      <c r="C19" s="50"/>
      <c r="D19" s="160">
        <v>605531</v>
      </c>
      <c r="E19" s="15"/>
      <c r="F19" s="163">
        <f>29527008/1000</f>
        <v>29527.008000000002</v>
      </c>
      <c r="G19" s="16"/>
      <c r="H19" s="17">
        <f t="shared" si="1"/>
        <v>4.8762174025772422</v>
      </c>
      <c r="I19" s="29"/>
      <c r="J19" s="17">
        <f t="shared" si="2"/>
        <v>10.522882184111687</v>
      </c>
      <c r="K19" s="113"/>
      <c r="L19" s="47"/>
    </row>
    <row r="20" spans="1:14" s="20" customFormat="1" x14ac:dyDescent="0.35">
      <c r="A20" s="4"/>
      <c r="B20" s="49" t="s">
        <v>10</v>
      </c>
      <c r="C20" s="50"/>
      <c r="D20" s="160">
        <v>544819</v>
      </c>
      <c r="E20" s="50"/>
      <c r="F20" s="163">
        <f>29195374/1000</f>
        <v>29195.374</v>
      </c>
      <c r="G20" s="16"/>
      <c r="H20" s="17">
        <f t="shared" si="1"/>
        <v>5.35872904579319</v>
      </c>
      <c r="I20" s="29"/>
      <c r="J20" s="17">
        <f t="shared" si="2"/>
        <v>10.404693930488234</v>
      </c>
      <c r="K20" s="113"/>
      <c r="L20" s="47"/>
    </row>
    <row r="21" spans="1:14" s="20" customFormat="1" x14ac:dyDescent="0.35">
      <c r="A21" s="4"/>
      <c r="B21" s="49" t="s">
        <v>11</v>
      </c>
      <c r="C21" s="50"/>
      <c r="D21" s="160">
        <v>493789</v>
      </c>
      <c r="E21" s="15"/>
      <c r="F21" s="163">
        <f>26585188/1000</f>
        <v>26585.187999999998</v>
      </c>
      <c r="G21" s="16"/>
      <c r="H21" s="17">
        <f t="shared" si="1"/>
        <v>5.3839166121562041</v>
      </c>
      <c r="I21" s="29"/>
      <c r="J21" s="17">
        <f t="shared" si="2"/>
        <v>9.4744716825510977</v>
      </c>
      <c r="K21" s="113"/>
      <c r="L21" s="47"/>
    </row>
    <row r="22" spans="1:14" s="20" customFormat="1" x14ac:dyDescent="0.35">
      <c r="A22" s="4"/>
      <c r="B22" s="49" t="s">
        <v>12</v>
      </c>
      <c r="C22" s="50"/>
      <c r="D22" s="160">
        <v>479366</v>
      </c>
      <c r="E22" s="15"/>
      <c r="F22" s="163">
        <f>23457176/1000</f>
        <v>23457.175999999999</v>
      </c>
      <c r="G22" s="16"/>
      <c r="H22" s="17">
        <f t="shared" si="1"/>
        <v>4.8933749994784774</v>
      </c>
      <c r="I22" s="29"/>
      <c r="J22" s="17">
        <f t="shared" si="2"/>
        <v>8.3597057791961937</v>
      </c>
      <c r="K22" s="113"/>
      <c r="L22" s="47"/>
    </row>
    <row r="23" spans="1:14" s="20" customFormat="1" x14ac:dyDescent="0.35">
      <c r="A23" s="4"/>
      <c r="B23" s="49" t="s">
        <v>13</v>
      </c>
      <c r="C23" s="50"/>
      <c r="D23" s="160">
        <v>445773</v>
      </c>
      <c r="E23" s="15"/>
      <c r="F23" s="163">
        <f>20154425/1000</f>
        <v>20154.424999999999</v>
      </c>
      <c r="G23" s="16"/>
      <c r="H23" s="17">
        <f t="shared" si="1"/>
        <v>4.5212305366184129</v>
      </c>
      <c r="I23" s="29"/>
      <c r="J23" s="17">
        <f t="shared" si="2"/>
        <v>7.1826661124457711</v>
      </c>
      <c r="K23" s="113"/>
      <c r="L23" s="47"/>
    </row>
    <row r="24" spans="1:14" s="20" customFormat="1" x14ac:dyDescent="0.35">
      <c r="A24" s="4"/>
      <c r="B24" s="49" t="s">
        <v>14</v>
      </c>
      <c r="C24" s="50"/>
      <c r="D24" s="160">
        <v>387849</v>
      </c>
      <c r="E24" s="50"/>
      <c r="F24" s="163">
        <f>17091853/1000</f>
        <v>17091.852999999999</v>
      </c>
      <c r="G24" s="16"/>
      <c r="H24" s="17">
        <f t="shared" si="1"/>
        <v>4.406831782472044</v>
      </c>
      <c r="I24" s="29"/>
      <c r="J24" s="17">
        <f t="shared" si="2"/>
        <v>6.0912218206177835</v>
      </c>
      <c r="K24" s="113"/>
      <c r="L24" s="47"/>
    </row>
    <row r="25" spans="1:14" s="20" customFormat="1" x14ac:dyDescent="0.35">
      <c r="A25" s="4"/>
      <c r="B25" s="49" t="s">
        <v>15</v>
      </c>
      <c r="C25" s="50"/>
      <c r="D25" s="160">
        <v>322142</v>
      </c>
      <c r="E25" s="15"/>
      <c r="F25" s="163">
        <f>13897964/1000</f>
        <v>13897.964</v>
      </c>
      <c r="G25" s="16"/>
      <c r="H25" s="17">
        <f t="shared" si="1"/>
        <v>4.3142353372115405</v>
      </c>
      <c r="I25" s="29"/>
      <c r="J25" s="17">
        <f t="shared" si="2"/>
        <v>4.952978566979275</v>
      </c>
      <c r="K25" s="113"/>
      <c r="L25" s="47"/>
    </row>
    <row r="26" spans="1:14" s="20" customFormat="1" x14ac:dyDescent="0.35">
      <c r="A26" s="4"/>
      <c r="B26" s="53" t="s">
        <v>47</v>
      </c>
      <c r="C26" s="50"/>
      <c r="D26" s="160">
        <v>269644</v>
      </c>
      <c r="E26" s="50"/>
      <c r="F26" s="163">
        <f>10914100/1000</f>
        <v>10914.1</v>
      </c>
      <c r="G26" s="16"/>
      <c r="H26" s="17">
        <f t="shared" si="1"/>
        <v>4.047596089658958</v>
      </c>
      <c r="I26" s="29"/>
      <c r="J26" s="17">
        <f t="shared" si="2"/>
        <v>3.8895843576705555</v>
      </c>
      <c r="K26" s="113"/>
      <c r="L26" s="47"/>
    </row>
    <row r="27" spans="1:14" s="20" customFormat="1" x14ac:dyDescent="0.35">
      <c r="A27" s="4"/>
      <c r="B27" s="53" t="s">
        <v>48</v>
      </c>
      <c r="C27" s="50"/>
      <c r="D27" s="160">
        <v>188677</v>
      </c>
      <c r="E27" s="50"/>
      <c r="F27" s="163">
        <f>8371616/1000</f>
        <v>8371.616</v>
      </c>
      <c r="G27" s="16"/>
      <c r="H27" s="17">
        <f t="shared" si="1"/>
        <v>4.4370092804104369</v>
      </c>
      <c r="I27" s="29"/>
      <c r="J27" s="17">
        <f t="shared" si="2"/>
        <v>2.9834898564265075</v>
      </c>
      <c r="K27" s="113"/>
      <c r="L27" s="47"/>
    </row>
    <row r="28" spans="1:14" s="20" customFormat="1" x14ac:dyDescent="0.35">
      <c r="A28" s="4"/>
      <c r="B28" s="53" t="s">
        <v>49</v>
      </c>
      <c r="C28" s="50"/>
      <c r="D28" s="160">
        <v>269285</v>
      </c>
      <c r="E28" s="50"/>
      <c r="F28" s="163">
        <f>15008078/1000</f>
        <v>15008.078</v>
      </c>
      <c r="G28" s="16"/>
      <c r="H28" s="17">
        <f t="shared" si="1"/>
        <v>5.573306348292701</v>
      </c>
      <c r="I28" s="29"/>
      <c r="J28" s="17">
        <f t="shared" si="2"/>
        <v>5.3486027640849541</v>
      </c>
      <c r="K28" s="113"/>
      <c r="L28" s="47"/>
    </row>
    <row r="29" spans="1:14" s="20" customFormat="1" x14ac:dyDescent="0.35">
      <c r="A29" s="4"/>
      <c r="B29" s="208" t="s">
        <v>305</v>
      </c>
      <c r="C29" s="209"/>
      <c r="D29" s="210">
        <f t="shared" ref="D29" si="3">SUM(D30:D45)</f>
        <v>3864824</v>
      </c>
      <c r="E29" s="209"/>
      <c r="F29" s="211">
        <f t="shared" ref="F29" si="4">SUM(F30:F45)</f>
        <v>134942.261</v>
      </c>
      <c r="G29" s="194"/>
      <c r="H29" s="212">
        <f t="shared" si="1"/>
        <v>3.4915499645003241</v>
      </c>
      <c r="I29" s="213"/>
      <c r="J29" s="212">
        <f>SUM(J30:J45)</f>
        <v>48.09093810523062</v>
      </c>
      <c r="K29" s="113"/>
      <c r="L29" s="16"/>
    </row>
    <row r="30" spans="1:14" s="20" customFormat="1" x14ac:dyDescent="0.35">
      <c r="A30" s="4"/>
      <c r="B30" s="49" t="s">
        <v>3</v>
      </c>
      <c r="C30" s="50"/>
      <c r="D30" s="160">
        <v>328509</v>
      </c>
      <c r="E30" s="15"/>
      <c r="F30" s="162">
        <f>3989013/1000</f>
        <v>3989.0129999999999</v>
      </c>
      <c r="G30" s="16"/>
      <c r="H30" s="17">
        <f t="shared" si="1"/>
        <v>1.2142781476306586</v>
      </c>
      <c r="I30" s="29"/>
      <c r="J30" s="17">
        <f>(F30/$F$12)*100</f>
        <v>1.4216108123752298</v>
      </c>
      <c r="K30" s="113"/>
      <c r="L30" s="47"/>
    </row>
    <row r="31" spans="1:14" s="20" customFormat="1" x14ac:dyDescent="0.35">
      <c r="A31" s="4"/>
      <c r="B31" s="51" t="s">
        <v>4</v>
      </c>
      <c r="C31" s="52"/>
      <c r="D31" s="160">
        <v>321512</v>
      </c>
      <c r="E31" s="52"/>
      <c r="F31" s="162">
        <f>4820375/1000</f>
        <v>4820.375</v>
      </c>
      <c r="G31" s="16"/>
      <c r="H31" s="17">
        <f t="shared" si="1"/>
        <v>1.4992830749707631</v>
      </c>
      <c r="I31" s="29"/>
      <c r="J31" s="17">
        <f t="shared" ref="J31:J45" si="5">(F31/$F$12)*100</f>
        <v>1.7178929273239392</v>
      </c>
      <c r="K31" s="113"/>
      <c r="L31" s="47"/>
    </row>
    <row r="32" spans="1:14" s="20" customFormat="1" x14ac:dyDescent="0.35">
      <c r="A32" s="4"/>
      <c r="B32" s="51" t="s">
        <v>5</v>
      </c>
      <c r="C32" s="52"/>
      <c r="D32" s="160">
        <v>309770</v>
      </c>
      <c r="E32" s="15"/>
      <c r="F32" s="162">
        <f>4923785/1000</f>
        <v>4923.7849999999999</v>
      </c>
      <c r="G32" s="16"/>
      <c r="H32" s="17">
        <f t="shared" si="1"/>
        <v>1.5894970461955644</v>
      </c>
      <c r="I32" s="29"/>
      <c r="J32" s="17">
        <f t="shared" si="5"/>
        <v>1.7547463479840681</v>
      </c>
      <c r="K32" s="113"/>
      <c r="L32" s="47"/>
      <c r="M32" s="114"/>
      <c r="N32" s="114"/>
    </row>
    <row r="33" spans="1:14" s="20" customFormat="1" x14ac:dyDescent="0.35">
      <c r="A33" s="4"/>
      <c r="B33" s="51" t="s">
        <v>6</v>
      </c>
      <c r="C33" s="52"/>
      <c r="D33" s="160">
        <v>295554</v>
      </c>
      <c r="E33" s="15"/>
      <c r="F33" s="162">
        <f>6067985/1000</f>
        <v>6067.9849999999997</v>
      </c>
      <c r="G33" s="16"/>
      <c r="H33" s="17">
        <f t="shared" si="1"/>
        <v>2.0530884373075646</v>
      </c>
      <c r="I33" s="29"/>
      <c r="J33" s="17">
        <f t="shared" si="5"/>
        <v>2.1625181681109358</v>
      </c>
      <c r="K33" s="113"/>
      <c r="L33" s="47"/>
      <c r="M33" s="115"/>
      <c r="N33" s="113"/>
    </row>
    <row r="34" spans="1:14" s="20" customFormat="1" x14ac:dyDescent="0.35">
      <c r="A34" s="4"/>
      <c r="B34" s="49" t="s">
        <v>7</v>
      </c>
      <c r="C34" s="50"/>
      <c r="D34" s="160">
        <v>289101</v>
      </c>
      <c r="E34" s="15"/>
      <c r="F34" s="162">
        <f>9023518/1000</f>
        <v>9023.518</v>
      </c>
      <c r="G34" s="16"/>
      <c r="H34" s="17">
        <f t="shared" si="1"/>
        <v>3.1212337556770815</v>
      </c>
      <c r="I34" s="29"/>
      <c r="J34" s="17">
        <f t="shared" si="5"/>
        <v>3.2158157304733046</v>
      </c>
      <c r="K34" s="113"/>
      <c r="L34" s="47"/>
    </row>
    <row r="35" spans="1:14" s="20" customFormat="1" x14ac:dyDescent="0.35">
      <c r="A35" s="4"/>
      <c r="B35" s="49" t="s">
        <v>8</v>
      </c>
      <c r="C35" s="50"/>
      <c r="D35" s="160">
        <v>288633</v>
      </c>
      <c r="E35" s="50"/>
      <c r="F35" s="162">
        <f>12156211/1000</f>
        <v>12156.210999999999</v>
      </c>
      <c r="G35" s="16"/>
      <c r="H35" s="17">
        <f t="shared" si="1"/>
        <v>4.2116497420599863</v>
      </c>
      <c r="I35" s="29"/>
      <c r="J35" s="17">
        <f t="shared" si="5"/>
        <v>4.3322498560708382</v>
      </c>
      <c r="K35" s="113"/>
      <c r="L35" s="47"/>
    </row>
    <row r="36" spans="1:14" s="20" customFormat="1" x14ac:dyDescent="0.35">
      <c r="A36" s="4"/>
      <c r="B36" s="49" t="s">
        <v>9</v>
      </c>
      <c r="C36" s="50"/>
      <c r="D36" s="160">
        <v>296294</v>
      </c>
      <c r="E36" s="15"/>
      <c r="F36" s="162">
        <f>13476747/1000</f>
        <v>13476.746999999999</v>
      </c>
      <c r="G36" s="16"/>
      <c r="H36" s="17">
        <f t="shared" si="1"/>
        <v>4.5484373628895627</v>
      </c>
      <c r="I36" s="29"/>
      <c r="J36" s="17">
        <f t="shared" si="5"/>
        <v>4.802864580999219</v>
      </c>
      <c r="K36" s="113"/>
      <c r="L36" s="47"/>
    </row>
    <row r="37" spans="1:14" s="20" customFormat="1" x14ac:dyDescent="0.35">
      <c r="A37" s="4"/>
      <c r="B37" s="49" t="s">
        <v>10</v>
      </c>
      <c r="C37" s="50"/>
      <c r="D37" s="160">
        <v>268372</v>
      </c>
      <c r="E37" s="50"/>
      <c r="F37" s="162">
        <f>13442369/1000</f>
        <v>13442.369000000001</v>
      </c>
      <c r="G37" s="16"/>
      <c r="H37" s="17">
        <f t="shared" si="1"/>
        <v>5.008856736172179</v>
      </c>
      <c r="I37" s="29"/>
      <c r="J37" s="17">
        <f t="shared" si="5"/>
        <v>4.7906128945525133</v>
      </c>
      <c r="K37" s="113"/>
      <c r="L37" s="47"/>
    </row>
    <row r="38" spans="1:14" s="20" customFormat="1" x14ac:dyDescent="0.35">
      <c r="A38" s="4"/>
      <c r="B38" s="49" t="s">
        <v>11</v>
      </c>
      <c r="C38" s="50"/>
      <c r="D38" s="160">
        <v>244399</v>
      </c>
      <c r="E38" s="15"/>
      <c r="F38" s="162">
        <f>12331582/1000</f>
        <v>12331.582</v>
      </c>
      <c r="G38" s="16"/>
      <c r="H38" s="17">
        <f t="shared" si="1"/>
        <v>5.0456761279710642</v>
      </c>
      <c r="I38" s="29"/>
      <c r="J38" s="17">
        <f t="shared" si="5"/>
        <v>4.3947488526339127</v>
      </c>
      <c r="K38" s="113"/>
      <c r="L38" s="47"/>
    </row>
    <row r="39" spans="1:14" s="20" customFormat="1" x14ac:dyDescent="0.35">
      <c r="A39" s="4"/>
      <c r="B39" s="49" t="s">
        <v>12</v>
      </c>
      <c r="C39" s="50"/>
      <c r="D39" s="160">
        <v>238133</v>
      </c>
      <c r="E39" s="15"/>
      <c r="F39" s="162">
        <f>10864220/1000</f>
        <v>10864.22</v>
      </c>
      <c r="G39" s="16"/>
      <c r="H39" s="17">
        <f t="shared" si="1"/>
        <v>4.562248827335984</v>
      </c>
      <c r="I39" s="29"/>
      <c r="J39" s="17">
        <f t="shared" si="5"/>
        <v>3.8718080437499749</v>
      </c>
      <c r="K39" s="113"/>
      <c r="L39" s="47"/>
    </row>
    <row r="40" spans="1:14" s="20" customFormat="1" x14ac:dyDescent="0.35">
      <c r="A40" s="4"/>
      <c r="B40" s="49" t="s">
        <v>13</v>
      </c>
      <c r="C40" s="50"/>
      <c r="D40" s="160">
        <v>223163</v>
      </c>
      <c r="E40" s="15"/>
      <c r="F40" s="162">
        <f>9485189/1000</f>
        <v>9485.1890000000003</v>
      </c>
      <c r="G40" s="16"/>
      <c r="H40" s="17">
        <f t="shared" si="1"/>
        <v>4.250341230401097</v>
      </c>
      <c r="I40" s="29"/>
      <c r="J40" s="17">
        <f t="shared" si="5"/>
        <v>3.3803467774666549</v>
      </c>
      <c r="K40" s="113"/>
      <c r="L40" s="47"/>
    </row>
    <row r="41" spans="1:14" s="20" customFormat="1" x14ac:dyDescent="0.35">
      <c r="A41" s="4"/>
      <c r="B41" s="49" t="s">
        <v>14</v>
      </c>
      <c r="C41" s="50"/>
      <c r="D41" s="160">
        <v>195634</v>
      </c>
      <c r="E41" s="50"/>
      <c r="F41" s="162">
        <f>8299468/1000</f>
        <v>8299.4680000000008</v>
      </c>
      <c r="G41" s="16"/>
      <c r="H41" s="17">
        <f t="shared" si="1"/>
        <v>4.2423443777666465</v>
      </c>
      <c r="I41" s="29"/>
      <c r="J41" s="17">
        <f t="shared" si="5"/>
        <v>2.9577776371654401</v>
      </c>
      <c r="K41" s="113"/>
      <c r="L41" s="47"/>
    </row>
    <row r="42" spans="1:14" s="20" customFormat="1" x14ac:dyDescent="0.35">
      <c r="A42" s="4"/>
      <c r="B42" s="49" t="s">
        <v>15</v>
      </c>
      <c r="C42" s="50"/>
      <c r="D42" s="160">
        <v>164961</v>
      </c>
      <c r="E42" s="15"/>
      <c r="F42" s="162">
        <f>7038905/1000</f>
        <v>7038.9049999999997</v>
      </c>
      <c r="G42" s="16"/>
      <c r="H42" s="17">
        <f t="shared" si="1"/>
        <v>4.267011596680427</v>
      </c>
      <c r="I42" s="29"/>
      <c r="J42" s="17">
        <f t="shared" si="5"/>
        <v>2.5085361855882815</v>
      </c>
      <c r="K42" s="113"/>
      <c r="L42" s="47"/>
    </row>
    <row r="43" spans="1:14" s="20" customFormat="1" x14ac:dyDescent="0.35">
      <c r="A43" s="4"/>
      <c r="B43" s="53" t="s">
        <v>47</v>
      </c>
      <c r="C43" s="50"/>
      <c r="D43" s="160">
        <v>140704</v>
      </c>
      <c r="E43" s="50"/>
      <c r="F43" s="162">
        <f>5745085/1000</f>
        <v>5745.085</v>
      </c>
      <c r="G43" s="16"/>
      <c r="H43" s="17">
        <f t="shared" si="1"/>
        <v>4.0830999829429153</v>
      </c>
      <c r="I43" s="29"/>
      <c r="J43" s="17">
        <f t="shared" si="5"/>
        <v>2.0474425513315566</v>
      </c>
      <c r="K43" s="113"/>
      <c r="L43" s="47"/>
    </row>
    <row r="44" spans="1:14" s="20" customFormat="1" x14ac:dyDescent="0.35">
      <c r="A44" s="4"/>
      <c r="B44" s="53" t="s">
        <v>48</v>
      </c>
      <c r="C44" s="50"/>
      <c r="D44" s="160">
        <v>101491</v>
      </c>
      <c r="E44" s="50"/>
      <c r="F44" s="162">
        <f>4525479/1000</f>
        <v>4525.4790000000003</v>
      </c>
      <c r="G44" s="16"/>
      <c r="H44" s="17">
        <f t="shared" si="1"/>
        <v>4.4589953789005925</v>
      </c>
      <c r="I44" s="29"/>
      <c r="J44" s="17">
        <f t="shared" si="5"/>
        <v>1.6127974207095948</v>
      </c>
      <c r="K44" s="113"/>
      <c r="L44" s="47"/>
    </row>
    <row r="45" spans="1:14" s="20" customFormat="1" x14ac:dyDescent="0.35">
      <c r="A45" s="4"/>
      <c r="B45" s="53" t="s">
        <v>49</v>
      </c>
      <c r="C45" s="50"/>
      <c r="D45" s="160">
        <v>158594</v>
      </c>
      <c r="E45" s="50"/>
      <c r="F45" s="160">
        <f>8752330/1000</f>
        <v>8752.33</v>
      </c>
      <c r="G45" s="16"/>
      <c r="H45" s="17">
        <f t="shared" si="1"/>
        <v>5.5187018424404455</v>
      </c>
      <c r="I45" s="29"/>
      <c r="J45" s="17">
        <f t="shared" si="5"/>
        <v>3.1191693186951497</v>
      </c>
      <c r="K45" s="113"/>
      <c r="L45" s="47"/>
    </row>
    <row r="46" spans="1:14" s="20" customFormat="1" x14ac:dyDescent="0.35">
      <c r="A46" s="4"/>
      <c r="B46" s="208" t="s">
        <v>304</v>
      </c>
      <c r="C46" s="209"/>
      <c r="D46" s="210">
        <f t="shared" ref="D46" si="6">SUM(D47:D62)</f>
        <v>3929974</v>
      </c>
      <c r="E46" s="209"/>
      <c r="F46" s="214">
        <f>SUM(F47:F62)</f>
        <v>145655.84399999998</v>
      </c>
      <c r="G46" s="194"/>
      <c r="H46" s="212">
        <f t="shared" ref="H46:H62" si="7">(F46/D46)*100</f>
        <v>3.7062800924382704</v>
      </c>
      <c r="I46" s="213"/>
      <c r="J46" s="212">
        <f>SUM(J47:J62)</f>
        <v>51.909061894769394</v>
      </c>
      <c r="K46" s="113"/>
      <c r="L46" s="16"/>
    </row>
    <row r="47" spans="1:14" s="20" customFormat="1" x14ac:dyDescent="0.35">
      <c r="A47" s="4"/>
      <c r="B47" s="49" t="s">
        <v>3</v>
      </c>
      <c r="C47" s="50"/>
      <c r="D47" s="160">
        <v>349433</v>
      </c>
      <c r="E47" s="15"/>
      <c r="F47" s="162">
        <f>4237565/1000</f>
        <v>4237.5649999999996</v>
      </c>
      <c r="G47" s="16"/>
      <c r="H47" s="17">
        <f t="shared" si="7"/>
        <v>1.2126974269745558</v>
      </c>
      <c r="I47" s="29"/>
      <c r="J47" s="17">
        <f>(F47/$F$12)*100</f>
        <v>1.5101901703862184</v>
      </c>
      <c r="K47" s="113"/>
      <c r="L47" s="47"/>
    </row>
    <row r="48" spans="1:14" s="20" customFormat="1" x14ac:dyDescent="0.35">
      <c r="A48" s="4"/>
      <c r="B48" s="51" t="s">
        <v>4</v>
      </c>
      <c r="C48" s="52"/>
      <c r="D48" s="160">
        <v>342928</v>
      </c>
      <c r="E48" s="52"/>
      <c r="F48" s="162">
        <f>5148784/1000</f>
        <v>5148.7839999999997</v>
      </c>
      <c r="G48" s="16"/>
      <c r="H48" s="17">
        <f t="shared" si="7"/>
        <v>1.5014183735361357</v>
      </c>
      <c r="I48" s="29"/>
      <c r="J48" s="17">
        <f t="shared" ref="J48:J62" si="8">(F48/$F$12)*100</f>
        <v>1.8349318503059739</v>
      </c>
      <c r="K48" s="113"/>
      <c r="L48" s="47"/>
    </row>
    <row r="49" spans="1:14" s="20" customFormat="1" x14ac:dyDescent="0.35">
      <c r="A49" s="4"/>
      <c r="B49" s="51" t="s">
        <v>5</v>
      </c>
      <c r="C49" s="52"/>
      <c r="D49" s="160">
        <v>331497</v>
      </c>
      <c r="E49" s="15"/>
      <c r="F49" s="162">
        <f>5288849/1000</f>
        <v>5288.8490000000002</v>
      </c>
      <c r="G49" s="16"/>
      <c r="H49" s="17">
        <f t="shared" si="7"/>
        <v>1.5954440010015174</v>
      </c>
      <c r="I49" s="29"/>
      <c r="J49" s="17">
        <f t="shared" si="8"/>
        <v>1.884848438302889</v>
      </c>
      <c r="K49" s="113"/>
      <c r="L49" s="47"/>
      <c r="M49" s="114"/>
      <c r="N49" s="114"/>
    </row>
    <row r="50" spans="1:14" s="20" customFormat="1" x14ac:dyDescent="0.35">
      <c r="A50" s="4"/>
      <c r="B50" s="51" t="s">
        <v>6</v>
      </c>
      <c r="C50" s="52"/>
      <c r="D50" s="160">
        <v>316642</v>
      </c>
      <c r="E50" s="15"/>
      <c r="F50" s="162">
        <f>6461852/1000</f>
        <v>6461.8519999999999</v>
      </c>
      <c r="G50" s="16"/>
      <c r="H50" s="17">
        <f t="shared" si="7"/>
        <v>2.0407438053069398</v>
      </c>
      <c r="I50" s="29"/>
      <c r="J50" s="17">
        <f t="shared" si="8"/>
        <v>2.3028851174885876</v>
      </c>
      <c r="K50" s="113"/>
      <c r="L50" s="47"/>
      <c r="M50" s="115"/>
      <c r="N50" s="113"/>
    </row>
    <row r="51" spans="1:14" s="20" customFormat="1" x14ac:dyDescent="0.35">
      <c r="A51" s="4"/>
      <c r="B51" s="49" t="s">
        <v>7</v>
      </c>
      <c r="C51" s="50"/>
      <c r="D51" s="160">
        <v>308287</v>
      </c>
      <c r="E51" s="15"/>
      <c r="F51" s="162">
        <f>10118188/1000</f>
        <v>10118.188</v>
      </c>
      <c r="G51" s="16"/>
      <c r="H51" s="17">
        <f t="shared" si="7"/>
        <v>3.2820676836843585</v>
      </c>
      <c r="I51" s="29"/>
      <c r="J51" s="17">
        <f t="shared" si="8"/>
        <v>3.6059359702375753</v>
      </c>
      <c r="K51" s="113"/>
      <c r="L51" s="47"/>
    </row>
    <row r="52" spans="1:14" s="20" customFormat="1" x14ac:dyDescent="0.35">
      <c r="A52" s="4"/>
      <c r="B52" s="49" t="s">
        <v>8</v>
      </c>
      <c r="C52" s="50"/>
      <c r="D52" s="160">
        <v>306059</v>
      </c>
      <c r="E52" s="50"/>
      <c r="F52" s="162">
        <f>14159198/1000</f>
        <v>14159.198</v>
      </c>
      <c r="G52" s="16"/>
      <c r="H52" s="17">
        <f t="shared" si="7"/>
        <v>4.6262968904688311</v>
      </c>
      <c r="I52" s="29"/>
      <c r="J52" s="17">
        <f t="shared" si="8"/>
        <v>5.0460775563683873</v>
      </c>
      <c r="K52" s="113"/>
      <c r="L52" s="47"/>
    </row>
    <row r="53" spans="1:14" s="20" customFormat="1" x14ac:dyDescent="0.35">
      <c r="A53" s="4"/>
      <c r="B53" s="49" t="s">
        <v>9</v>
      </c>
      <c r="C53" s="50"/>
      <c r="D53" s="160">
        <v>309237</v>
      </c>
      <c r="E53" s="15"/>
      <c r="F53" s="162">
        <f>16050261/1000</f>
        <v>16050.261</v>
      </c>
      <c r="G53" s="16"/>
      <c r="H53" s="17">
        <f t="shared" si="7"/>
        <v>5.1902783302127498</v>
      </c>
      <c r="I53" s="29"/>
      <c r="J53" s="17">
        <f t="shared" si="8"/>
        <v>5.7200176031124661</v>
      </c>
      <c r="K53" s="113"/>
      <c r="L53" s="47"/>
    </row>
    <row r="54" spans="1:14" s="20" customFormat="1" x14ac:dyDescent="0.35">
      <c r="A54" s="4"/>
      <c r="B54" s="49" t="s">
        <v>10</v>
      </c>
      <c r="C54" s="50"/>
      <c r="D54" s="160">
        <v>276447</v>
      </c>
      <c r="E54" s="50"/>
      <c r="F54" s="162">
        <f>15753005/1000</f>
        <v>15753.004999999999</v>
      </c>
      <c r="G54" s="16"/>
      <c r="H54" s="17">
        <f t="shared" si="7"/>
        <v>5.6983816066009032</v>
      </c>
      <c r="I54" s="29"/>
      <c r="J54" s="17">
        <f t="shared" si="8"/>
        <v>5.6140810359357207</v>
      </c>
      <c r="K54" s="113"/>
      <c r="L54" s="47"/>
    </row>
    <row r="55" spans="1:14" s="20" customFormat="1" x14ac:dyDescent="0.35">
      <c r="A55" s="4"/>
      <c r="B55" s="49" t="s">
        <v>11</v>
      </c>
      <c r="C55" s="50"/>
      <c r="D55" s="160">
        <v>249390</v>
      </c>
      <c r="E55" s="15"/>
      <c r="F55" s="162">
        <f>14253606/1000</f>
        <v>14253.606</v>
      </c>
      <c r="G55" s="16"/>
      <c r="H55" s="17">
        <f t="shared" si="7"/>
        <v>5.7153879465896784</v>
      </c>
      <c r="I55" s="29"/>
      <c r="J55" s="17">
        <f t="shared" si="8"/>
        <v>5.0797228299171877</v>
      </c>
      <c r="K55" s="113"/>
      <c r="L55" s="47"/>
    </row>
    <row r="56" spans="1:14" s="20" customFormat="1" x14ac:dyDescent="0.35">
      <c r="A56" s="4"/>
      <c r="B56" s="49" t="s">
        <v>12</v>
      </c>
      <c r="C56" s="50"/>
      <c r="D56" s="160">
        <v>241233</v>
      </c>
      <c r="E56" s="15"/>
      <c r="F56" s="162">
        <f>12592956/1000</f>
        <v>12592.956</v>
      </c>
      <c r="G56" s="16"/>
      <c r="H56" s="17">
        <f t="shared" si="7"/>
        <v>5.2202459862456623</v>
      </c>
      <c r="I56" s="29"/>
      <c r="J56" s="17">
        <f t="shared" si="8"/>
        <v>4.487897735446218</v>
      </c>
      <c r="K56" s="113"/>
      <c r="L56" s="47"/>
    </row>
    <row r="57" spans="1:14" s="20" customFormat="1" x14ac:dyDescent="0.35">
      <c r="A57" s="4"/>
      <c r="B57" s="49" t="s">
        <v>13</v>
      </c>
      <c r="C57" s="50"/>
      <c r="D57" s="160">
        <v>222610</v>
      </c>
      <c r="E57" s="15"/>
      <c r="F57" s="162">
        <f>10669236/1000</f>
        <v>10669.236000000001</v>
      </c>
      <c r="G57" s="16"/>
      <c r="H57" s="17">
        <f t="shared" si="7"/>
        <v>4.7927927766048244</v>
      </c>
      <c r="I57" s="29"/>
      <c r="J57" s="17">
        <f t="shared" si="8"/>
        <v>3.8023193349791158</v>
      </c>
      <c r="K57" s="113"/>
      <c r="L57" s="47"/>
    </row>
    <row r="58" spans="1:14" s="20" customFormat="1" x14ac:dyDescent="0.35">
      <c r="A58" s="4"/>
      <c r="B58" s="49" t="s">
        <v>14</v>
      </c>
      <c r="C58" s="50"/>
      <c r="D58" s="160">
        <v>192215</v>
      </c>
      <c r="E58" s="50"/>
      <c r="F58" s="162">
        <f>8792385/1000</f>
        <v>8792.3850000000002</v>
      </c>
      <c r="G58" s="16"/>
      <c r="H58" s="17">
        <f t="shared" si="7"/>
        <v>4.5742449860832926</v>
      </c>
      <c r="I58" s="29"/>
      <c r="J58" s="17">
        <f t="shared" si="8"/>
        <v>3.1334441834523439</v>
      </c>
      <c r="K58" s="113"/>
      <c r="L58" s="47"/>
    </row>
    <row r="59" spans="1:14" s="20" customFormat="1" x14ac:dyDescent="0.35">
      <c r="A59" s="4"/>
      <c r="B59" s="49" t="s">
        <v>15</v>
      </c>
      <c r="C59" s="50"/>
      <c r="D59" s="160">
        <v>157180</v>
      </c>
      <c r="E59" s="15"/>
      <c r="F59" s="162">
        <f>6859059/1000</f>
        <v>6859.0590000000002</v>
      </c>
      <c r="G59" s="16"/>
      <c r="H59" s="17">
        <f t="shared" si="7"/>
        <v>4.363824277897951</v>
      </c>
      <c r="I59" s="29"/>
      <c r="J59" s="17">
        <f t="shared" si="8"/>
        <v>2.4444423813909935</v>
      </c>
      <c r="K59" s="113"/>
      <c r="L59" s="47"/>
    </row>
    <row r="60" spans="1:14" s="20" customFormat="1" x14ac:dyDescent="0.35">
      <c r="A60" s="4"/>
      <c r="B60" s="53" t="s">
        <v>47</v>
      </c>
      <c r="C60" s="50"/>
      <c r="D60" s="160">
        <v>128939</v>
      </c>
      <c r="E60" s="50"/>
      <c r="F60" s="162">
        <f>5169015/1000</f>
        <v>5169.0150000000003</v>
      </c>
      <c r="G60" s="16"/>
      <c r="H60" s="17">
        <f t="shared" si="7"/>
        <v>4.0088840459442059</v>
      </c>
      <c r="I60" s="29"/>
      <c r="J60" s="17">
        <f t="shared" si="8"/>
        <v>1.8421418063389989</v>
      </c>
      <c r="K60" s="113"/>
      <c r="L60" s="47"/>
    </row>
    <row r="61" spans="1:14" s="20" customFormat="1" x14ac:dyDescent="0.35">
      <c r="A61" s="4"/>
      <c r="B61" s="53" t="s">
        <v>48</v>
      </c>
      <c r="C61" s="50"/>
      <c r="D61" s="160">
        <v>87186</v>
      </c>
      <c r="E61" s="50"/>
      <c r="F61" s="162">
        <f>3846137/1000</f>
        <v>3846.1370000000002</v>
      </c>
      <c r="G61" s="16"/>
      <c r="H61" s="17">
        <f t="shared" si="7"/>
        <v>4.4114158236414101</v>
      </c>
      <c r="I61" s="29"/>
      <c r="J61" s="17">
        <f t="shared" si="8"/>
        <v>1.3706924357169128</v>
      </c>
      <c r="K61" s="113"/>
      <c r="L61" s="47"/>
    </row>
    <row r="62" spans="1:14" s="20" customFormat="1" x14ac:dyDescent="0.35">
      <c r="A62" s="4"/>
      <c r="B62" s="93" t="s">
        <v>49</v>
      </c>
      <c r="C62" s="94"/>
      <c r="D62" s="161">
        <v>110691</v>
      </c>
      <c r="E62" s="94"/>
      <c r="F62" s="164">
        <f>6255748/1000</f>
        <v>6255.7479999999996</v>
      </c>
      <c r="G62" s="95"/>
      <c r="H62" s="69">
        <f t="shared" si="7"/>
        <v>5.6515416790886333</v>
      </c>
      <c r="I62" s="70"/>
      <c r="J62" s="69">
        <f t="shared" si="8"/>
        <v>2.2294334453898039</v>
      </c>
      <c r="K62" s="113"/>
      <c r="L62" s="47"/>
    </row>
    <row r="63" spans="1:14" ht="9" customHeight="1" x14ac:dyDescent="0.35">
      <c r="B63" s="29"/>
      <c r="C63" s="29"/>
      <c r="D63" s="64"/>
      <c r="E63" s="64"/>
      <c r="F63" s="64"/>
      <c r="G63" s="64"/>
      <c r="H63" s="29"/>
      <c r="I63" s="29"/>
      <c r="J63" s="48" t="s">
        <v>308</v>
      </c>
    </row>
    <row r="64" spans="1:14" ht="31.5" customHeight="1" x14ac:dyDescent="0.35">
      <c r="B64" s="355" t="s">
        <v>319</v>
      </c>
      <c r="C64" s="355"/>
      <c r="D64" s="355"/>
      <c r="E64" s="355"/>
      <c r="F64" s="355"/>
      <c r="G64" s="355"/>
      <c r="H64" s="355"/>
      <c r="I64" s="355"/>
      <c r="J64" s="355"/>
      <c r="K64" s="228"/>
    </row>
    <row r="65" spans="2:11" ht="18" customHeight="1" x14ac:dyDescent="0.35">
      <c r="B65" s="355" t="s">
        <v>316</v>
      </c>
      <c r="C65" s="355"/>
      <c r="D65" s="355"/>
      <c r="E65" s="355"/>
      <c r="F65" s="355"/>
      <c r="G65" s="355"/>
      <c r="H65" s="355"/>
      <c r="I65" s="355"/>
      <c r="J65" s="355"/>
      <c r="K65" s="228"/>
    </row>
    <row r="66" spans="2:11" ht="30" customHeight="1" x14ac:dyDescent="0.35">
      <c r="B66" s="348" t="s">
        <v>318</v>
      </c>
      <c r="C66" s="348"/>
      <c r="D66" s="348"/>
      <c r="E66" s="348"/>
      <c r="F66" s="348"/>
      <c r="G66" s="348"/>
      <c r="H66" s="348"/>
      <c r="I66" s="348"/>
      <c r="J66" s="348"/>
      <c r="K66" s="82"/>
    </row>
    <row r="67" spans="2:11" ht="15" customHeight="1" x14ac:dyDescent="0.35">
      <c r="F67" s="28"/>
      <c r="G67" s="28"/>
      <c r="H67" s="28"/>
      <c r="I67" s="28"/>
      <c r="J67" s="28"/>
    </row>
    <row r="68" spans="2:11" hidden="1" x14ac:dyDescent="0.35">
      <c r="C68" s="4"/>
      <c r="D68" s="4"/>
      <c r="E68" s="4"/>
      <c r="F68" s="4"/>
      <c r="G68" s="4"/>
    </row>
  </sheetData>
  <mergeCells count="10">
    <mergeCell ref="B66:J66"/>
    <mergeCell ref="B5:J5"/>
    <mergeCell ref="K8:L8"/>
    <mergeCell ref="B7:B8"/>
    <mergeCell ref="D7:D8"/>
    <mergeCell ref="F7:F8"/>
    <mergeCell ref="H7:H8"/>
    <mergeCell ref="J7:J8"/>
    <mergeCell ref="B64:J64"/>
    <mergeCell ref="B65:J65"/>
  </mergeCells>
  <hyperlinks>
    <hyperlink ref="B66" r:id="rId1" display="https://www.un.org/en/development/desa/population/migration/data/estimates2/data/UN_MigrantStockByAgeAndSex_2019.xlsx"/>
    <hyperlink ref="K7" location="Indice!A1" display="Volver"/>
  </hyperlinks>
  <pageMargins left="0.7" right="0.7" top="0.75" bottom="0.75" header="0.3" footer="0.3"/>
  <ignoredErrors>
    <ignoredError sqref="H12 J46" formula="1"/>
    <ignoredError sqref="B15 B32 B49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4"/>
  <sheetViews>
    <sheetView showGridLines="0" zoomScaleNormal="100" workbookViewId="0">
      <pane xSplit="1" ySplit="8" topLeftCell="B229" activePane="bottomRight" state="frozen"/>
      <selection activeCell="C7" sqref="C7:N7"/>
      <selection pane="topRight" activeCell="C7" sqref="C7:N7"/>
      <selection pane="bottomLeft" activeCell="C7" sqref="C7:N7"/>
      <selection pane="bottomRight" activeCell="C7" sqref="C7:N7"/>
    </sheetView>
  </sheetViews>
  <sheetFormatPr baseColWidth="10" defaultColWidth="0" defaultRowHeight="0" customHeight="1" zeroHeight="1" x14ac:dyDescent="0.35"/>
  <cols>
    <col min="1" max="1" width="2.85546875" style="1" customWidth="1"/>
    <col min="2" max="2" width="4.28515625" style="86" customWidth="1"/>
    <col min="3" max="3" width="30.85546875" style="1" customWidth="1"/>
    <col min="4" max="4" width="15.85546875" style="81" customWidth="1"/>
    <col min="5" max="5" width="2.85546875" style="1" customWidth="1"/>
    <col min="6" max="6" width="13.42578125" style="81" bestFit="1" customWidth="1"/>
    <col min="7" max="7" width="20.85546875" style="81" customWidth="1"/>
    <col min="8" max="8" width="21.5703125" style="1" customWidth="1"/>
    <col min="9" max="9" width="20.7109375" style="1" customWidth="1"/>
    <col min="10" max="10" width="22.42578125" style="1" customWidth="1"/>
    <col min="11" max="11" width="11.42578125" style="1" customWidth="1"/>
    <col min="12" max="19" width="0" style="1" hidden="1" customWidth="1"/>
    <col min="20" max="16384" width="11.42578125" style="1" hidden="1"/>
  </cols>
  <sheetData>
    <row r="1" spans="1:12" ht="15" customHeight="1" x14ac:dyDescent="0.35">
      <c r="C1" s="3"/>
      <c r="D1" s="88"/>
      <c r="E1" s="22"/>
      <c r="F1" s="88"/>
      <c r="G1" s="88"/>
      <c r="H1" s="22"/>
      <c r="I1" s="22"/>
      <c r="J1" s="22"/>
    </row>
    <row r="2" spans="1:12" ht="18.75" customHeight="1" x14ac:dyDescent="0.35">
      <c r="C2" s="23"/>
      <c r="E2" s="66"/>
      <c r="F2" s="89"/>
      <c r="G2" s="89"/>
      <c r="H2" s="66"/>
      <c r="I2" s="66"/>
      <c r="J2" s="66"/>
    </row>
    <row r="3" spans="1:12" s="60" customFormat="1" ht="15.75" customHeight="1" x14ac:dyDescent="0.35">
      <c r="B3" s="150"/>
      <c r="C3" s="151"/>
      <c r="D3" s="152"/>
      <c r="E3" s="153"/>
      <c r="F3" s="154"/>
      <c r="G3" s="154"/>
      <c r="H3" s="153"/>
      <c r="I3" s="153"/>
    </row>
    <row r="4" spans="1:12" s="60" customFormat="1" ht="15.75" customHeight="1" x14ac:dyDescent="0.35">
      <c r="B4" s="150"/>
      <c r="C4" s="151"/>
      <c r="D4" s="152"/>
      <c r="E4" s="153"/>
      <c r="F4" s="154"/>
      <c r="G4" s="154"/>
      <c r="H4" s="153"/>
      <c r="I4" s="153"/>
    </row>
    <row r="5" spans="1:12" ht="22.5" customHeight="1" x14ac:dyDescent="0.35">
      <c r="B5" s="358" t="s">
        <v>379</v>
      </c>
      <c r="C5" s="358"/>
      <c r="D5" s="358"/>
      <c r="E5" s="358"/>
      <c r="F5" s="358"/>
      <c r="G5" s="358"/>
      <c r="H5" s="358"/>
      <c r="I5" s="358"/>
      <c r="J5" s="358"/>
    </row>
    <row r="6" spans="1:12" ht="16.5" customHeight="1" x14ac:dyDescent="0.35">
      <c r="B6" s="80"/>
      <c r="C6" s="23"/>
      <c r="D6" s="63"/>
      <c r="E6" s="66"/>
      <c r="F6" s="89"/>
      <c r="G6" s="89"/>
      <c r="H6" s="66"/>
      <c r="I6" s="66"/>
      <c r="J6" s="66"/>
    </row>
    <row r="7" spans="1:12" ht="45" customHeight="1" x14ac:dyDescent="0.35">
      <c r="B7" s="357" t="s">
        <v>53</v>
      </c>
      <c r="C7" s="357"/>
      <c r="D7" s="216" t="s">
        <v>67</v>
      </c>
      <c r="E7" s="217"/>
      <c r="F7" s="216" t="s">
        <v>68</v>
      </c>
      <c r="G7" s="216" t="s">
        <v>306</v>
      </c>
      <c r="H7" s="216" t="s">
        <v>307</v>
      </c>
      <c r="I7" s="216" t="s">
        <v>46</v>
      </c>
      <c r="J7" s="216" t="s">
        <v>19</v>
      </c>
      <c r="K7" s="215" t="s">
        <v>315</v>
      </c>
    </row>
    <row r="8" spans="1:12" ht="17.25" customHeight="1" x14ac:dyDescent="0.35">
      <c r="A8" s="20"/>
      <c r="B8" s="359" t="s">
        <v>2</v>
      </c>
      <c r="C8" s="359"/>
      <c r="D8" s="218">
        <f>SUM(D9:D636)</f>
        <v>7794798.729000004</v>
      </c>
      <c r="E8" s="219"/>
      <c r="F8" s="218">
        <f>SUM(F9:F243)</f>
        <v>280598.10500000027</v>
      </c>
      <c r="G8" s="218">
        <f>SUM(G9:G243)</f>
        <v>134929.65400000007</v>
      </c>
      <c r="H8" s="218">
        <f>SUM(H9:H243)</f>
        <v>145642.22999999981</v>
      </c>
      <c r="I8" s="220">
        <f t="shared" ref="I8:I71" si="0">(F8/D8)*100</f>
        <v>3.5998120638581037</v>
      </c>
      <c r="J8" s="220">
        <f>SUM(J9:J636)</f>
        <v>99.999999999999829</v>
      </c>
    </row>
    <row r="9" spans="1:12" s="20" customFormat="1" ht="21.75" customHeight="1" x14ac:dyDescent="0.25">
      <c r="B9" s="106">
        <v>1</v>
      </c>
      <c r="C9" s="67" t="s">
        <v>51</v>
      </c>
      <c r="D9" s="57">
        <v>331002.647</v>
      </c>
      <c r="E9" s="41"/>
      <c r="F9" s="270">
        <v>50632.836000000003</v>
      </c>
      <c r="G9" s="270">
        <v>26153.84</v>
      </c>
      <c r="H9" s="270">
        <v>24478.995999999999</v>
      </c>
      <c r="I9" s="244">
        <f t="shared" si="0"/>
        <v>15.296806976894056</v>
      </c>
      <c r="J9" s="245">
        <f t="shared" ref="J9:J72" si="1">(F9/$F$8)*100</f>
        <v>18.044610814460047</v>
      </c>
    </row>
    <row r="10" spans="1:12" s="20" customFormat="1" ht="21.75" customHeight="1" x14ac:dyDescent="0.25">
      <c r="A10" s="18"/>
      <c r="B10" s="21">
        <v>2</v>
      </c>
      <c r="C10" s="67" t="s">
        <v>21</v>
      </c>
      <c r="D10" s="57">
        <v>83783.945000000007</v>
      </c>
      <c r="E10" s="42"/>
      <c r="F10" s="270">
        <v>15762.457</v>
      </c>
      <c r="G10" s="270">
        <v>7870.8220000000001</v>
      </c>
      <c r="H10" s="278">
        <v>7891.6350000000002</v>
      </c>
      <c r="I10" s="43">
        <f t="shared" si="0"/>
        <v>18.81321892875777</v>
      </c>
      <c r="J10" s="44">
        <f t="shared" si="1"/>
        <v>5.6174495547644501</v>
      </c>
      <c r="K10" s="39"/>
      <c r="L10" s="40"/>
    </row>
    <row r="11" spans="1:12" s="20" customFormat="1" ht="21.75" customHeight="1" x14ac:dyDescent="0.35">
      <c r="A11" s="1"/>
      <c r="B11" s="106">
        <v>3</v>
      </c>
      <c r="C11" s="67" t="s">
        <v>22</v>
      </c>
      <c r="D11" s="57">
        <v>34813.866999999998</v>
      </c>
      <c r="E11" s="42"/>
      <c r="F11" s="270">
        <v>13454.842000000001</v>
      </c>
      <c r="G11" s="270">
        <v>4219.7120000000004</v>
      </c>
      <c r="H11" s="278">
        <v>9235.1299999999992</v>
      </c>
      <c r="I11" s="43">
        <f t="shared" si="0"/>
        <v>38.647938765320156</v>
      </c>
      <c r="J11" s="44">
        <f t="shared" si="1"/>
        <v>4.7950580421774367</v>
      </c>
      <c r="K11" s="39"/>
      <c r="L11" s="40"/>
    </row>
    <row r="12" spans="1:12" s="20" customFormat="1" ht="21.75" customHeight="1" x14ac:dyDescent="0.25">
      <c r="B12" s="21">
        <v>4</v>
      </c>
      <c r="C12" s="67" t="s">
        <v>20</v>
      </c>
      <c r="D12" s="57">
        <v>145934.46</v>
      </c>
      <c r="E12" s="42"/>
      <c r="F12" s="270">
        <v>11636.911</v>
      </c>
      <c r="G12" s="270">
        <v>5924.8220000000001</v>
      </c>
      <c r="H12" s="278">
        <v>5712.0889999999999</v>
      </c>
      <c r="I12" s="43">
        <f t="shared" si="0"/>
        <v>7.9740665775581725</v>
      </c>
      <c r="J12" s="44">
        <f t="shared" si="1"/>
        <v>4.1471808941831547</v>
      </c>
    </row>
    <row r="13" spans="1:12" s="20" customFormat="1" ht="21.75" customHeight="1" x14ac:dyDescent="0.25">
      <c r="B13" s="106">
        <v>5</v>
      </c>
      <c r="C13" s="67" t="s">
        <v>77</v>
      </c>
      <c r="D13" s="57">
        <v>67886.004000000001</v>
      </c>
      <c r="E13" s="42"/>
      <c r="F13" s="270">
        <v>9359.5869999999995</v>
      </c>
      <c r="G13" s="270">
        <v>4895.1639999999998</v>
      </c>
      <c r="H13" s="278">
        <v>4464.4229999999998</v>
      </c>
      <c r="I13" s="43">
        <f t="shared" si="0"/>
        <v>13.787211573095389</v>
      </c>
      <c r="J13" s="44">
        <f t="shared" si="1"/>
        <v>3.3355845364671977</v>
      </c>
    </row>
    <row r="14" spans="1:12" s="20" customFormat="1" ht="21.75" customHeight="1" x14ac:dyDescent="0.35">
      <c r="A14" s="1"/>
      <c r="B14" s="21">
        <v>6</v>
      </c>
      <c r="C14" s="67" t="s">
        <v>35</v>
      </c>
      <c r="D14" s="57">
        <v>9890.4</v>
      </c>
      <c r="E14" s="42"/>
      <c r="F14" s="270">
        <v>8716.3320000000003</v>
      </c>
      <c r="G14" s="270">
        <v>2296.54</v>
      </c>
      <c r="H14" s="278">
        <v>6419.7920000000004</v>
      </c>
      <c r="I14" s="43">
        <f t="shared" si="0"/>
        <v>88.129216209657855</v>
      </c>
      <c r="J14" s="44">
        <f t="shared" si="1"/>
        <v>3.1063402940657752</v>
      </c>
      <c r="K14" s="39"/>
      <c r="L14" s="40"/>
    </row>
    <row r="15" spans="1:12" s="20" customFormat="1" ht="21.75" customHeight="1" x14ac:dyDescent="0.25">
      <c r="B15" s="106">
        <v>7</v>
      </c>
      <c r="C15" s="246" t="s">
        <v>24</v>
      </c>
      <c r="D15" s="57">
        <v>65273.512000000002</v>
      </c>
      <c r="E15" s="42"/>
      <c r="F15" s="270">
        <v>8524.8760000000002</v>
      </c>
      <c r="G15" s="270">
        <v>4394.1390000000001</v>
      </c>
      <c r="H15" s="278">
        <v>4130.7370000000001</v>
      </c>
      <c r="I15" s="43">
        <f t="shared" si="0"/>
        <v>13.060237972180813</v>
      </c>
      <c r="J15" s="44">
        <f t="shared" si="1"/>
        <v>3.0381088995593863</v>
      </c>
    </row>
    <row r="16" spans="1:12" s="20" customFormat="1" ht="21.75" customHeight="1" x14ac:dyDescent="0.35">
      <c r="A16" s="1"/>
      <c r="B16" s="21">
        <v>8</v>
      </c>
      <c r="C16" s="67" t="s">
        <v>23</v>
      </c>
      <c r="D16" s="57">
        <v>37742.156999999999</v>
      </c>
      <c r="E16" s="42"/>
      <c r="F16" s="270">
        <v>8049.3230000000003</v>
      </c>
      <c r="G16" s="270">
        <v>4220.9620000000004</v>
      </c>
      <c r="H16" s="278">
        <v>3828.3609999999999</v>
      </c>
      <c r="I16" s="43">
        <f t="shared" si="0"/>
        <v>21.32714089446451</v>
      </c>
      <c r="J16" s="44">
        <f t="shared" si="1"/>
        <v>2.8686305632748277</v>
      </c>
      <c r="K16" s="39"/>
      <c r="L16" s="40"/>
    </row>
    <row r="17" spans="1:12" s="20" customFormat="1" ht="21.75" customHeight="1" x14ac:dyDescent="0.35">
      <c r="A17" s="1"/>
      <c r="B17" s="106">
        <v>9</v>
      </c>
      <c r="C17" s="67" t="s">
        <v>28</v>
      </c>
      <c r="D17" s="57">
        <v>25499.881000000001</v>
      </c>
      <c r="E17" s="42"/>
      <c r="F17" s="270">
        <v>7685.86</v>
      </c>
      <c r="G17" s="270">
        <v>3873.6729999999998</v>
      </c>
      <c r="H17" s="278">
        <v>3812.1869999999999</v>
      </c>
      <c r="I17" s="43">
        <f t="shared" si="0"/>
        <v>30.140768107898225</v>
      </c>
      <c r="J17" s="44">
        <f t="shared" si="1"/>
        <v>2.739099039888381</v>
      </c>
      <c r="K17" s="39"/>
      <c r="L17" s="40"/>
    </row>
    <row r="18" spans="1:12" s="20" customFormat="1" ht="21.75" customHeight="1" x14ac:dyDescent="0.35">
      <c r="A18" s="1"/>
      <c r="B18" s="21">
        <v>10</v>
      </c>
      <c r="C18" s="67" t="s">
        <v>25</v>
      </c>
      <c r="D18" s="57">
        <v>46754.783000000003</v>
      </c>
      <c r="E18" s="42"/>
      <c r="F18" s="270">
        <v>6842.2020000000002</v>
      </c>
      <c r="G18" s="270">
        <v>3569.4290000000001</v>
      </c>
      <c r="H18" s="278">
        <v>3272.7730000000001</v>
      </c>
      <c r="I18" s="43">
        <f t="shared" si="0"/>
        <v>14.634228972894602</v>
      </c>
      <c r="J18" s="44">
        <f t="shared" si="1"/>
        <v>2.438434856856925</v>
      </c>
      <c r="K18" s="39"/>
      <c r="L18" s="40"/>
    </row>
    <row r="19" spans="1:12" s="20" customFormat="1" ht="21.75" customHeight="1" x14ac:dyDescent="0.25">
      <c r="B19" s="106">
        <v>11</v>
      </c>
      <c r="C19" s="67" t="s">
        <v>29</v>
      </c>
      <c r="D19" s="57">
        <v>60461.828000000001</v>
      </c>
      <c r="E19" s="42"/>
      <c r="F19" s="270">
        <v>6386.9979999999996</v>
      </c>
      <c r="G19" s="270">
        <v>3421.0839999999998</v>
      </c>
      <c r="H19" s="278">
        <v>2965.9140000000002</v>
      </c>
      <c r="I19" s="43">
        <f t="shared" si="0"/>
        <v>10.563686562702006</v>
      </c>
      <c r="J19" s="44">
        <f t="shared" si="1"/>
        <v>2.2762085296335104</v>
      </c>
    </row>
    <row r="20" spans="1:12" ht="21.75" customHeight="1" x14ac:dyDescent="0.35">
      <c r="B20" s="21">
        <v>12</v>
      </c>
      <c r="C20" s="67" t="s">
        <v>37</v>
      </c>
      <c r="D20" s="57">
        <v>84339.066999999995</v>
      </c>
      <c r="E20" s="42"/>
      <c r="F20" s="270">
        <v>6052.652</v>
      </c>
      <c r="G20" s="270">
        <v>2928.4870000000001</v>
      </c>
      <c r="H20" s="278">
        <v>3124.165</v>
      </c>
      <c r="I20" s="43">
        <f t="shared" si="0"/>
        <v>7.1765697858621085</v>
      </c>
      <c r="J20" s="44">
        <f t="shared" si="1"/>
        <v>2.1570537691264859</v>
      </c>
    </row>
    <row r="21" spans="1:12" ht="21.75" customHeight="1" x14ac:dyDescent="0.35">
      <c r="B21" s="106">
        <v>13</v>
      </c>
      <c r="C21" s="67" t="s">
        <v>27</v>
      </c>
      <c r="D21" s="57">
        <v>43733.758999999998</v>
      </c>
      <c r="E21" s="42"/>
      <c r="F21" s="270">
        <v>4997.3869999999997</v>
      </c>
      <c r="G21" s="270">
        <v>2848.0889999999999</v>
      </c>
      <c r="H21" s="278">
        <v>2149.2979999999998</v>
      </c>
      <c r="I21" s="43">
        <f t="shared" si="0"/>
        <v>11.4268407616185</v>
      </c>
      <c r="J21" s="44">
        <f t="shared" si="1"/>
        <v>1.7809767460831551</v>
      </c>
    </row>
    <row r="22" spans="1:12" ht="21.75" customHeight="1" x14ac:dyDescent="0.35">
      <c r="B22" s="21">
        <v>14</v>
      </c>
      <c r="C22" s="67" t="s">
        <v>26</v>
      </c>
      <c r="D22" s="57">
        <v>1380004.385</v>
      </c>
      <c r="E22" s="42"/>
      <c r="F22" s="270">
        <v>4878.7039999999997</v>
      </c>
      <c r="G22" s="270">
        <v>2604.7919999999999</v>
      </c>
      <c r="H22" s="278">
        <v>2273.9119999999998</v>
      </c>
      <c r="I22" s="43">
        <f t="shared" si="0"/>
        <v>0.35352815201380677</v>
      </c>
      <c r="J22" s="44">
        <f t="shared" si="1"/>
        <v>1.7386803093342327</v>
      </c>
    </row>
    <row r="23" spans="1:12" ht="21.75" customHeight="1" x14ac:dyDescent="0.35">
      <c r="B23" s="106">
        <v>15</v>
      </c>
      <c r="C23" s="67" t="s">
        <v>44</v>
      </c>
      <c r="D23" s="57">
        <v>18776.706999999999</v>
      </c>
      <c r="E23" s="42"/>
      <c r="F23" s="270">
        <v>3732.0729999999999</v>
      </c>
      <c r="G23" s="270">
        <v>1881.9760000000001</v>
      </c>
      <c r="H23" s="278">
        <v>1850.097</v>
      </c>
      <c r="I23" s="43">
        <f t="shared" si="0"/>
        <v>19.876078377321434</v>
      </c>
      <c r="J23" s="44">
        <f t="shared" si="1"/>
        <v>1.3300421255517731</v>
      </c>
    </row>
    <row r="24" spans="1:12" ht="21.75" customHeight="1" x14ac:dyDescent="0.35">
      <c r="B24" s="21">
        <v>16</v>
      </c>
      <c r="C24" s="67" t="s">
        <v>40</v>
      </c>
      <c r="D24" s="57">
        <v>69799.978000000003</v>
      </c>
      <c r="E24" s="41"/>
      <c r="F24" s="270">
        <v>3632.4960000000001</v>
      </c>
      <c r="G24" s="270">
        <v>1810.6389999999999</v>
      </c>
      <c r="H24" s="278">
        <v>1821.857</v>
      </c>
      <c r="I24" s="43">
        <f t="shared" si="0"/>
        <v>5.2041506374113755</v>
      </c>
      <c r="J24" s="44">
        <f t="shared" si="1"/>
        <v>1.2945547155423578</v>
      </c>
    </row>
    <row r="25" spans="1:12" ht="21.75" customHeight="1" x14ac:dyDescent="0.35">
      <c r="B25" s="106">
        <v>17</v>
      </c>
      <c r="C25" s="67" t="s">
        <v>73</v>
      </c>
      <c r="D25" s="57">
        <v>32365.998</v>
      </c>
      <c r="E25" s="42"/>
      <c r="F25" s="270">
        <v>3476.56</v>
      </c>
      <c r="G25" s="270">
        <v>1320.2950000000001</v>
      </c>
      <c r="H25" s="278">
        <v>2156.2649999999999</v>
      </c>
      <c r="I25" s="43">
        <f t="shared" si="0"/>
        <v>10.741395955100783</v>
      </c>
      <c r="J25" s="44">
        <f t="shared" si="1"/>
        <v>1.2389819952632952</v>
      </c>
    </row>
    <row r="26" spans="1:12" ht="21.75" customHeight="1" x14ac:dyDescent="0.35">
      <c r="B26" s="21">
        <v>18</v>
      </c>
      <c r="C26" s="67" t="s">
        <v>281</v>
      </c>
      <c r="D26" s="57">
        <v>10203.14</v>
      </c>
      <c r="E26" s="42"/>
      <c r="F26" s="270">
        <v>3457.6909999999998</v>
      </c>
      <c r="G26" s="270">
        <v>1701.0540000000001</v>
      </c>
      <c r="H26" s="278">
        <v>1756.6369999999999</v>
      </c>
      <c r="I26" s="43">
        <f t="shared" si="0"/>
        <v>33.888499030690546</v>
      </c>
      <c r="J26" s="44">
        <f t="shared" si="1"/>
        <v>1.2322574309616225</v>
      </c>
    </row>
    <row r="27" spans="1:12" ht="21.75" customHeight="1" x14ac:dyDescent="0.35">
      <c r="B27" s="106">
        <v>19</v>
      </c>
      <c r="C27" s="67" t="s">
        <v>30</v>
      </c>
      <c r="D27" s="57">
        <v>220892.33100000001</v>
      </c>
      <c r="E27" s="42"/>
      <c r="F27" s="270">
        <v>3276.58</v>
      </c>
      <c r="G27" s="270">
        <v>1463.7760000000001</v>
      </c>
      <c r="H27" s="278">
        <v>1812.8040000000001</v>
      </c>
      <c r="I27" s="43">
        <f t="shared" si="0"/>
        <v>1.4833380521481299</v>
      </c>
      <c r="J27" s="44">
        <f t="shared" si="1"/>
        <v>1.1677128040476243</v>
      </c>
    </row>
    <row r="28" spans="1:12" ht="21.75" customHeight="1" x14ac:dyDescent="0.35">
      <c r="B28" s="21">
        <v>20</v>
      </c>
      <c r="C28" s="67" t="s">
        <v>89</v>
      </c>
      <c r="D28" s="57">
        <v>4270.5630000000001</v>
      </c>
      <c r="E28" s="42"/>
      <c r="F28" s="270">
        <v>3110.1590000000001</v>
      </c>
      <c r="G28" s="270">
        <v>1046.729</v>
      </c>
      <c r="H28" s="278">
        <v>2063.4299999999998</v>
      </c>
      <c r="I28" s="43">
        <f t="shared" si="0"/>
        <v>72.827844946907476</v>
      </c>
      <c r="J28" s="44">
        <f t="shared" si="1"/>
        <v>1.1084034227529787</v>
      </c>
    </row>
    <row r="29" spans="1:12" ht="21.75" customHeight="1" x14ac:dyDescent="0.35">
      <c r="B29" s="106">
        <v>21</v>
      </c>
      <c r="C29" s="67" t="s">
        <v>90</v>
      </c>
      <c r="D29" s="57">
        <v>7496.9880000000003</v>
      </c>
      <c r="E29" s="42"/>
      <c r="F29" s="270">
        <v>2962.4920000000002</v>
      </c>
      <c r="G29" s="270">
        <v>1854.5219999999999</v>
      </c>
      <c r="H29" s="278">
        <v>1107.97</v>
      </c>
      <c r="I29" s="43">
        <f t="shared" si="0"/>
        <v>39.515762863699393</v>
      </c>
      <c r="J29" s="44">
        <f t="shared" si="1"/>
        <v>1.0557776218766686</v>
      </c>
    </row>
    <row r="30" spans="1:12" ht="21.75" customHeight="1" x14ac:dyDescent="0.35">
      <c r="B30" s="21">
        <v>22</v>
      </c>
      <c r="C30" s="67" t="s">
        <v>72</v>
      </c>
      <c r="D30" s="57">
        <v>59308.69</v>
      </c>
      <c r="E30" s="42"/>
      <c r="F30" s="270">
        <v>2860.4949999999999</v>
      </c>
      <c r="G30" s="270">
        <v>1233.201</v>
      </c>
      <c r="H30" s="278">
        <v>1627.2940000000001</v>
      </c>
      <c r="I30" s="43">
        <f t="shared" si="0"/>
        <v>4.8230621853222511</v>
      </c>
      <c r="J30" s="44">
        <f t="shared" si="1"/>
        <v>1.0194277684091975</v>
      </c>
    </row>
    <row r="31" spans="1:12" ht="21.75" customHeight="1" x14ac:dyDescent="0.35">
      <c r="B31" s="106">
        <v>23</v>
      </c>
      <c r="C31" s="67" t="s">
        <v>282</v>
      </c>
      <c r="D31" s="57">
        <v>83992.952999999994</v>
      </c>
      <c r="E31" s="42"/>
      <c r="F31" s="270">
        <v>2797.2350000000001</v>
      </c>
      <c r="G31" s="270">
        <v>1279.7170000000001</v>
      </c>
      <c r="H31" s="278">
        <v>1517.518</v>
      </c>
      <c r="I31" s="43">
        <f t="shared" si="0"/>
        <v>3.3303210568153259</v>
      </c>
      <c r="J31" s="44">
        <f t="shared" si="1"/>
        <v>0.99688306875771582</v>
      </c>
    </row>
    <row r="32" spans="1:12" ht="21.75" customHeight="1" x14ac:dyDescent="0.35">
      <c r="B32" s="21">
        <v>24</v>
      </c>
      <c r="C32" s="67" t="s">
        <v>93</v>
      </c>
      <c r="D32" s="57">
        <v>126476.458</v>
      </c>
      <c r="E32" s="42"/>
      <c r="F32" s="270">
        <v>2770.9960000000001</v>
      </c>
      <c r="G32" s="270">
        <v>1423.84</v>
      </c>
      <c r="H32" s="278">
        <v>1347.1559999999999</v>
      </c>
      <c r="I32" s="43">
        <f t="shared" si="0"/>
        <v>2.1909184079143014</v>
      </c>
      <c r="J32" s="44">
        <f t="shared" si="1"/>
        <v>0.98753197210651056</v>
      </c>
    </row>
    <row r="33" spans="2:10" ht="21.75" customHeight="1" x14ac:dyDescent="0.35">
      <c r="B33" s="106">
        <v>25</v>
      </c>
      <c r="C33" s="67" t="s">
        <v>92</v>
      </c>
      <c r="D33" s="57">
        <v>26378.275000000001</v>
      </c>
      <c r="E33" s="42"/>
      <c r="F33" s="270">
        <v>2564.857</v>
      </c>
      <c r="G33" s="270">
        <v>1144.6089999999999</v>
      </c>
      <c r="H33" s="278">
        <v>1420.248</v>
      </c>
      <c r="I33" s="43">
        <f t="shared" si="0"/>
        <v>9.7233689466047331</v>
      </c>
      <c r="J33" s="44">
        <f t="shared" si="1"/>
        <v>0.91406782665192887</v>
      </c>
    </row>
    <row r="34" spans="2:10" ht="21.75" customHeight="1" x14ac:dyDescent="0.35">
      <c r="B34" s="21">
        <v>26</v>
      </c>
      <c r="C34" s="67" t="s">
        <v>97</v>
      </c>
      <c r="D34" s="57">
        <v>5850.3429999999998</v>
      </c>
      <c r="E34" s="42"/>
      <c r="F34" s="270">
        <v>2523.6480000000001</v>
      </c>
      <c r="G34" s="270">
        <v>1411.1310000000001</v>
      </c>
      <c r="H34" s="278">
        <v>1112.5170000000001</v>
      </c>
      <c r="I34" s="43">
        <f t="shared" si="0"/>
        <v>43.136752836543089</v>
      </c>
      <c r="J34" s="44">
        <f t="shared" si="1"/>
        <v>0.8993816975349842</v>
      </c>
    </row>
    <row r="35" spans="2:10" ht="21.75" customHeight="1" x14ac:dyDescent="0.35">
      <c r="B35" s="106">
        <v>27</v>
      </c>
      <c r="C35" s="67" t="s">
        <v>91</v>
      </c>
      <c r="D35" s="57">
        <v>8654.6180000000004</v>
      </c>
      <c r="E35" s="42"/>
      <c r="F35" s="270">
        <v>2491.2489999999998</v>
      </c>
      <c r="G35" s="270">
        <v>1269.047</v>
      </c>
      <c r="H35" s="278">
        <v>1222.202</v>
      </c>
      <c r="I35" s="43">
        <f t="shared" si="0"/>
        <v>28.785198838354269</v>
      </c>
      <c r="J35" s="44">
        <f t="shared" si="1"/>
        <v>0.88783529026327435</v>
      </c>
    </row>
    <row r="36" spans="2:10" ht="21.75" customHeight="1" x14ac:dyDescent="0.35">
      <c r="B36" s="21">
        <v>28</v>
      </c>
      <c r="C36" s="67" t="s">
        <v>94</v>
      </c>
      <c r="D36" s="57">
        <v>5106.6220000000003</v>
      </c>
      <c r="E36" s="42"/>
      <c r="F36" s="270">
        <v>2372.8359999999998</v>
      </c>
      <c r="G36" s="270">
        <v>388.81099999999998</v>
      </c>
      <c r="H36" s="278">
        <v>1984.0250000000001</v>
      </c>
      <c r="I36" s="43">
        <f t="shared" si="0"/>
        <v>46.465863343713316</v>
      </c>
      <c r="J36" s="44">
        <f t="shared" si="1"/>
        <v>0.84563507654479619</v>
      </c>
    </row>
    <row r="37" spans="2:10" ht="21.75" customHeight="1" x14ac:dyDescent="0.35">
      <c r="B37" s="106">
        <v>29</v>
      </c>
      <c r="C37" s="67" t="s">
        <v>95</v>
      </c>
      <c r="D37" s="57">
        <v>17134.873</v>
      </c>
      <c r="E37" s="42"/>
      <c r="F37" s="270">
        <v>2358.3330000000001</v>
      </c>
      <c r="G37" s="270">
        <v>1223.9290000000001</v>
      </c>
      <c r="H37" s="278">
        <v>1134.404</v>
      </c>
      <c r="I37" s="43">
        <f t="shared" si="0"/>
        <v>13.763352666809961</v>
      </c>
      <c r="J37" s="44">
        <f t="shared" si="1"/>
        <v>0.84046647428356569</v>
      </c>
    </row>
    <row r="38" spans="2:10" ht="21.75" customHeight="1" x14ac:dyDescent="0.35">
      <c r="B38" s="21">
        <v>30</v>
      </c>
      <c r="C38" s="67" t="s">
        <v>82</v>
      </c>
      <c r="D38" s="57">
        <v>45195.777000000002</v>
      </c>
      <c r="E38" s="42"/>
      <c r="F38" s="270">
        <v>2281.7280000000001</v>
      </c>
      <c r="G38" s="270">
        <v>1219.1949999999999</v>
      </c>
      <c r="H38" s="278">
        <v>1062.5329999999999</v>
      </c>
      <c r="I38" s="43">
        <f t="shared" si="0"/>
        <v>5.0485424777629113</v>
      </c>
      <c r="J38" s="44">
        <f t="shared" si="1"/>
        <v>0.81316586225698062</v>
      </c>
    </row>
    <row r="39" spans="2:10" ht="21.75" customHeight="1" x14ac:dyDescent="0.35">
      <c r="B39" s="106">
        <v>31</v>
      </c>
      <c r="C39" s="67" t="s">
        <v>96</v>
      </c>
      <c r="D39" s="57">
        <v>2881.06</v>
      </c>
      <c r="E39" s="42"/>
      <c r="F39" s="270">
        <v>2226.192</v>
      </c>
      <c r="G39" s="270">
        <v>383.40699999999998</v>
      </c>
      <c r="H39" s="278">
        <v>1842.7850000000001</v>
      </c>
      <c r="I39" s="43">
        <f t="shared" si="0"/>
        <v>77.269893719672623</v>
      </c>
      <c r="J39" s="44">
        <f t="shared" si="1"/>
        <v>0.79337385403939131</v>
      </c>
    </row>
    <row r="40" spans="2:10" ht="21.75" customHeight="1" x14ac:dyDescent="0.35">
      <c r="B40" s="21">
        <v>32</v>
      </c>
      <c r="C40" s="67" t="s">
        <v>34</v>
      </c>
      <c r="D40" s="57">
        <v>164689.383</v>
      </c>
      <c r="E40" s="42"/>
      <c r="F40" s="270">
        <v>2115.4079999999999</v>
      </c>
      <c r="G40" s="270">
        <v>1021.43</v>
      </c>
      <c r="H40" s="278">
        <v>1093.9780000000001</v>
      </c>
      <c r="I40" s="43">
        <f t="shared" si="0"/>
        <v>1.2844835298217128</v>
      </c>
      <c r="J40" s="44">
        <f t="shared" si="1"/>
        <v>0.75389247550335303</v>
      </c>
    </row>
    <row r="41" spans="2:10" ht="21.75" customHeight="1" x14ac:dyDescent="0.35">
      <c r="B41" s="106">
        <v>33</v>
      </c>
      <c r="C41" s="67" t="s">
        <v>99</v>
      </c>
      <c r="D41" s="57">
        <v>11589.616</v>
      </c>
      <c r="E41" s="42"/>
      <c r="F41" s="270">
        <v>2005.479</v>
      </c>
      <c r="G41" s="270">
        <v>1021.362</v>
      </c>
      <c r="H41" s="278">
        <v>984.11699999999996</v>
      </c>
      <c r="I41" s="43">
        <f t="shared" si="0"/>
        <v>17.304102223921827</v>
      </c>
      <c r="J41" s="44">
        <f t="shared" si="1"/>
        <v>0.71471580323038819</v>
      </c>
    </row>
    <row r="42" spans="2:10" ht="21.75" customHeight="1" x14ac:dyDescent="0.35">
      <c r="B42" s="21">
        <v>34</v>
      </c>
      <c r="C42" s="67" t="s">
        <v>98</v>
      </c>
      <c r="D42" s="57">
        <v>10099.27</v>
      </c>
      <c r="E42" s="42"/>
      <c r="F42" s="270">
        <v>2003.9079999999999</v>
      </c>
      <c r="G42" s="270">
        <v>995.90200000000004</v>
      </c>
      <c r="H42" s="278">
        <v>1008.006</v>
      </c>
      <c r="I42" s="43">
        <f t="shared" si="0"/>
        <v>19.842107399841769</v>
      </c>
      <c r="J42" s="44">
        <f t="shared" si="1"/>
        <v>0.71415592774584058</v>
      </c>
    </row>
    <row r="43" spans="2:10" ht="21.75" customHeight="1" x14ac:dyDescent="0.35">
      <c r="B43" s="106">
        <v>35</v>
      </c>
      <c r="C43" s="67" t="s">
        <v>100</v>
      </c>
      <c r="D43" s="57">
        <v>8655.5409999999993</v>
      </c>
      <c r="E43" s="42"/>
      <c r="F43" s="270">
        <v>1953.575</v>
      </c>
      <c r="G43" s="270">
        <v>1067.058</v>
      </c>
      <c r="H43" s="278">
        <v>886.51700000000005</v>
      </c>
      <c r="I43" s="43">
        <f t="shared" si="0"/>
        <v>22.570224091134225</v>
      </c>
      <c r="J43" s="44">
        <f t="shared" si="1"/>
        <v>0.69621817296307054</v>
      </c>
    </row>
    <row r="44" spans="2:10" ht="21.75" customHeight="1" x14ac:dyDescent="0.35">
      <c r="B44" s="21">
        <v>36</v>
      </c>
      <c r="C44" s="67" t="s">
        <v>109</v>
      </c>
      <c r="D44" s="57">
        <v>50882.883999999998</v>
      </c>
      <c r="E44" s="42"/>
      <c r="F44" s="270">
        <v>1905.393</v>
      </c>
      <c r="G44" s="270">
        <v>951.65800000000002</v>
      </c>
      <c r="H44" s="278">
        <v>953.73500000000001</v>
      </c>
      <c r="I44" s="43">
        <f t="shared" si="0"/>
        <v>3.744663922744631</v>
      </c>
      <c r="J44" s="44">
        <f t="shared" si="1"/>
        <v>0.67904699498950583</v>
      </c>
    </row>
    <row r="45" spans="2:10" ht="21.75" customHeight="1" x14ac:dyDescent="0.35">
      <c r="B45" s="106">
        <v>37</v>
      </c>
      <c r="C45" s="67" t="s">
        <v>102</v>
      </c>
      <c r="D45" s="57">
        <v>9006.4</v>
      </c>
      <c r="E45" s="42"/>
      <c r="F45" s="270">
        <v>1738.183</v>
      </c>
      <c r="G45" s="270">
        <v>889.78800000000001</v>
      </c>
      <c r="H45" s="278">
        <v>848.39499999999998</v>
      </c>
      <c r="I45" s="43">
        <f t="shared" si="0"/>
        <v>19.29942041215136</v>
      </c>
      <c r="J45" s="44">
        <f t="shared" si="1"/>
        <v>0.61945642861700667</v>
      </c>
    </row>
    <row r="46" spans="2:10" ht="21.75" customHeight="1" x14ac:dyDescent="0.35">
      <c r="B46" s="21">
        <v>38</v>
      </c>
      <c r="C46" s="67" t="s">
        <v>272</v>
      </c>
      <c r="D46" s="57">
        <v>51269.182999999997</v>
      </c>
      <c r="E46" s="42"/>
      <c r="F46" s="270">
        <v>1728.182</v>
      </c>
      <c r="G46" s="270">
        <v>769.81700000000001</v>
      </c>
      <c r="H46" s="278">
        <v>958.36500000000001</v>
      </c>
      <c r="I46" s="43">
        <f t="shared" si="0"/>
        <v>3.3708007400859108</v>
      </c>
      <c r="J46" s="44">
        <f t="shared" si="1"/>
        <v>0.61589225629303468</v>
      </c>
    </row>
    <row r="47" spans="2:10" ht="21.75" customHeight="1" x14ac:dyDescent="0.35">
      <c r="B47" s="106">
        <v>39</v>
      </c>
      <c r="C47" s="67" t="s">
        <v>103</v>
      </c>
      <c r="D47" s="57">
        <v>45741</v>
      </c>
      <c r="E47" s="42"/>
      <c r="F47" s="270">
        <v>1720.3130000000001</v>
      </c>
      <c r="G47" s="270">
        <v>892.649</v>
      </c>
      <c r="H47" s="278">
        <v>827.66399999999999</v>
      </c>
      <c r="I47" s="43">
        <f t="shared" si="0"/>
        <v>3.7609868608032184</v>
      </c>
      <c r="J47" s="44">
        <f t="shared" si="1"/>
        <v>0.61308788952797755</v>
      </c>
    </row>
    <row r="48" spans="2:10" ht="21.75" customHeight="1" x14ac:dyDescent="0.35">
      <c r="B48" s="21">
        <v>40</v>
      </c>
      <c r="C48" s="67" t="s">
        <v>101</v>
      </c>
      <c r="D48" s="57">
        <v>6825.442</v>
      </c>
      <c r="E48" s="42"/>
      <c r="F48" s="270">
        <v>1712.7619999999999</v>
      </c>
      <c r="G48" s="270">
        <v>873.05600000000004</v>
      </c>
      <c r="H48" s="278">
        <v>839.70600000000002</v>
      </c>
      <c r="I48" s="43">
        <f t="shared" si="0"/>
        <v>25.093788797853676</v>
      </c>
      <c r="J48" s="44">
        <f t="shared" si="1"/>
        <v>0.61039685210988792</v>
      </c>
    </row>
    <row r="49" spans="2:10" ht="21.75" customHeight="1" x14ac:dyDescent="0.35">
      <c r="B49" s="106">
        <v>41</v>
      </c>
      <c r="C49" s="67" t="s">
        <v>81</v>
      </c>
      <c r="D49" s="57">
        <v>19116.208999999999</v>
      </c>
      <c r="E49" s="42"/>
      <c r="F49" s="270">
        <v>1645.0150000000001</v>
      </c>
      <c r="G49" s="270">
        <v>814.94200000000001</v>
      </c>
      <c r="H49" s="278">
        <v>830.07299999999998</v>
      </c>
      <c r="I49" s="43">
        <f t="shared" si="0"/>
        <v>8.6053411531543738</v>
      </c>
      <c r="J49" s="44">
        <f t="shared" si="1"/>
        <v>0.58625306824506118</v>
      </c>
    </row>
    <row r="50" spans="2:10" ht="21.75" customHeight="1" x14ac:dyDescent="0.35">
      <c r="B50" s="21">
        <v>42</v>
      </c>
      <c r="C50" s="67" t="s">
        <v>111</v>
      </c>
      <c r="D50" s="57">
        <v>4822.2330000000002</v>
      </c>
      <c r="E50" s="42"/>
      <c r="F50" s="270">
        <v>1381.7239999999999</v>
      </c>
      <c r="G50" s="270">
        <v>713.56</v>
      </c>
      <c r="H50" s="278">
        <v>668.16399999999999</v>
      </c>
      <c r="I50" s="43">
        <f t="shared" si="0"/>
        <v>28.653198632251904</v>
      </c>
      <c r="J50" s="44">
        <f t="shared" si="1"/>
        <v>0.49242100191660187</v>
      </c>
    </row>
    <row r="51" spans="2:10" ht="21.75" customHeight="1" x14ac:dyDescent="0.35">
      <c r="B51" s="106">
        <v>43</v>
      </c>
      <c r="C51" s="67" t="s">
        <v>106</v>
      </c>
      <c r="D51" s="57">
        <v>43849.269</v>
      </c>
      <c r="E51" s="42"/>
      <c r="F51" s="270">
        <v>1379.1469999999999</v>
      </c>
      <c r="G51" s="270">
        <v>693.97</v>
      </c>
      <c r="H51" s="278">
        <v>685.17700000000002</v>
      </c>
      <c r="I51" s="43">
        <f t="shared" si="0"/>
        <v>3.1451995243067792</v>
      </c>
      <c r="J51" s="44">
        <f t="shared" si="1"/>
        <v>0.49150260654825112</v>
      </c>
    </row>
    <row r="52" spans="2:10" ht="21.75" customHeight="1" x14ac:dyDescent="0.35">
      <c r="B52" s="21">
        <v>44</v>
      </c>
      <c r="C52" s="67" t="s">
        <v>107</v>
      </c>
      <c r="D52" s="57">
        <v>10423.056</v>
      </c>
      <c r="E52" s="42"/>
      <c r="F52" s="270">
        <v>1340.4559999999999</v>
      </c>
      <c r="G52" s="270">
        <v>697.81700000000001</v>
      </c>
      <c r="H52" s="278">
        <v>642.63900000000001</v>
      </c>
      <c r="I52" s="43">
        <f t="shared" si="0"/>
        <v>12.860489284524615</v>
      </c>
      <c r="J52" s="44">
        <f t="shared" si="1"/>
        <v>0.47771384628559715</v>
      </c>
    </row>
    <row r="53" spans="2:10" ht="21.75" customHeight="1" x14ac:dyDescent="0.35">
      <c r="B53" s="106">
        <v>45</v>
      </c>
      <c r="C53" s="67" t="s">
        <v>271</v>
      </c>
      <c r="D53" s="57">
        <v>28435.942999999999</v>
      </c>
      <c r="E53" s="42"/>
      <c r="F53" s="270">
        <v>1324.193</v>
      </c>
      <c r="G53" s="270">
        <v>671.37</v>
      </c>
      <c r="H53" s="278">
        <v>652.82299999999998</v>
      </c>
      <c r="I53" s="43">
        <f t="shared" si="0"/>
        <v>4.6567578223096033</v>
      </c>
      <c r="J53" s="44">
        <f t="shared" si="1"/>
        <v>0.47191801241850823</v>
      </c>
    </row>
    <row r="54" spans="2:10" ht="21.75" customHeight="1" x14ac:dyDescent="0.35">
      <c r="B54" s="21">
        <v>46</v>
      </c>
      <c r="C54" s="67" t="s">
        <v>104</v>
      </c>
      <c r="D54" s="57">
        <v>206139.587</v>
      </c>
      <c r="E54" s="42"/>
      <c r="F54" s="270">
        <v>1308.568</v>
      </c>
      <c r="G54" s="270">
        <v>594.89</v>
      </c>
      <c r="H54" s="278">
        <v>713.678</v>
      </c>
      <c r="I54" s="43">
        <f t="shared" si="0"/>
        <v>0.63479704167642481</v>
      </c>
      <c r="J54" s="44">
        <f t="shared" si="1"/>
        <v>0.46634955000854289</v>
      </c>
    </row>
    <row r="55" spans="2:10" ht="21.75" customHeight="1" x14ac:dyDescent="0.35">
      <c r="B55" s="106">
        <v>47</v>
      </c>
      <c r="C55" s="67" t="s">
        <v>120</v>
      </c>
      <c r="D55" s="57">
        <v>32971.845999999998</v>
      </c>
      <c r="E55" s="42"/>
      <c r="F55" s="270">
        <v>1224.519</v>
      </c>
      <c r="G55" s="270">
        <v>582.11500000000001</v>
      </c>
      <c r="H55" s="278">
        <v>642.404</v>
      </c>
      <c r="I55" s="43">
        <f t="shared" si="0"/>
        <v>3.7138320978449317</v>
      </c>
      <c r="J55" s="44">
        <f t="shared" si="1"/>
        <v>0.43639603339445177</v>
      </c>
    </row>
    <row r="56" spans="2:10" ht="21.75" customHeight="1" x14ac:dyDescent="0.35">
      <c r="B56" s="279">
        <v>48</v>
      </c>
      <c r="C56" s="221" t="s">
        <v>33</v>
      </c>
      <c r="D56" s="222">
        <v>128932.753</v>
      </c>
      <c r="E56" s="271"/>
      <c r="F56" s="280">
        <v>1197.624</v>
      </c>
      <c r="G56" s="280">
        <v>596.11500000000001</v>
      </c>
      <c r="H56" s="280">
        <v>601.50900000000001</v>
      </c>
      <c r="I56" s="223">
        <f t="shared" si="0"/>
        <v>0.92887491512726794</v>
      </c>
      <c r="J56" s="272">
        <f t="shared" si="1"/>
        <v>0.42681115041742673</v>
      </c>
    </row>
    <row r="57" spans="2:10" ht="21.75" customHeight="1" x14ac:dyDescent="0.35">
      <c r="B57" s="106">
        <v>49</v>
      </c>
      <c r="C57" s="67" t="s">
        <v>108</v>
      </c>
      <c r="D57" s="57">
        <v>33469.199000000001</v>
      </c>
      <c r="E57" s="41"/>
      <c r="F57" s="270">
        <v>1162.0070000000001</v>
      </c>
      <c r="G57" s="270">
        <v>618.64300000000003</v>
      </c>
      <c r="H57" s="278">
        <v>543.36400000000003</v>
      </c>
      <c r="I57" s="43">
        <f t="shared" si="0"/>
        <v>3.4718697630020965</v>
      </c>
      <c r="J57" s="44">
        <f t="shared" si="1"/>
        <v>0.41411790717545971</v>
      </c>
    </row>
    <row r="58" spans="2:10" ht="21.75" customHeight="1" x14ac:dyDescent="0.35">
      <c r="B58" s="21">
        <v>50</v>
      </c>
      <c r="C58" s="67" t="s">
        <v>105</v>
      </c>
      <c r="D58" s="57">
        <v>114963.583</v>
      </c>
      <c r="E58" s="42"/>
      <c r="F58" s="270">
        <v>1085.5170000000001</v>
      </c>
      <c r="G58" s="270">
        <v>548.71</v>
      </c>
      <c r="H58" s="278">
        <v>536.80700000000002</v>
      </c>
      <c r="I58" s="43">
        <f t="shared" si="0"/>
        <v>0.94422683398794216</v>
      </c>
      <c r="J58" s="44">
        <f t="shared" si="1"/>
        <v>0.38685827903221193</v>
      </c>
    </row>
    <row r="59" spans="2:10" ht="21.75" customHeight="1" x14ac:dyDescent="0.35">
      <c r="B59" s="106">
        <v>51</v>
      </c>
      <c r="C59" s="67" t="s">
        <v>119</v>
      </c>
      <c r="D59" s="57">
        <v>212559.40900000001</v>
      </c>
      <c r="E59" s="42"/>
      <c r="F59" s="270">
        <v>1079.7080000000001</v>
      </c>
      <c r="G59" s="270">
        <v>496.827</v>
      </c>
      <c r="H59" s="278">
        <v>582.88099999999997</v>
      </c>
      <c r="I59" s="43">
        <f t="shared" si="0"/>
        <v>0.50795587223334815</v>
      </c>
      <c r="J59" s="44">
        <f t="shared" si="1"/>
        <v>0.38478805835128466</v>
      </c>
    </row>
    <row r="60" spans="2:10" ht="21.75" customHeight="1" x14ac:dyDescent="0.35">
      <c r="B60" s="21">
        <v>52</v>
      </c>
      <c r="C60" s="67" t="s">
        <v>110</v>
      </c>
      <c r="D60" s="57">
        <v>9449.3209999999999</v>
      </c>
      <c r="E60" s="42"/>
      <c r="F60" s="270">
        <v>1067.0899999999999</v>
      </c>
      <c r="G60" s="270">
        <v>578.37699999999995</v>
      </c>
      <c r="H60" s="278">
        <v>488.71300000000002</v>
      </c>
      <c r="I60" s="43">
        <f t="shared" si="0"/>
        <v>11.292769078328485</v>
      </c>
      <c r="J60" s="44">
        <f t="shared" si="1"/>
        <v>0.38029123539519233</v>
      </c>
    </row>
    <row r="61" spans="2:10" ht="21.75" customHeight="1" x14ac:dyDescent="0.35">
      <c r="B61" s="106">
        <v>53</v>
      </c>
      <c r="C61" s="67" t="s">
        <v>112</v>
      </c>
      <c r="D61" s="57">
        <v>53771.3</v>
      </c>
      <c r="E61" s="42"/>
      <c r="F61" s="270">
        <v>1050.1469999999999</v>
      </c>
      <c r="G61" s="270">
        <v>520.17200000000003</v>
      </c>
      <c r="H61" s="278">
        <v>529.97500000000002</v>
      </c>
      <c r="I61" s="43">
        <f t="shared" si="0"/>
        <v>1.9529879322240671</v>
      </c>
      <c r="J61" s="44">
        <f t="shared" si="1"/>
        <v>0.37425306204402159</v>
      </c>
    </row>
    <row r="62" spans="2:10" ht="21.75" customHeight="1" x14ac:dyDescent="0.35">
      <c r="B62" s="21">
        <v>54</v>
      </c>
      <c r="C62" s="67" t="s">
        <v>43</v>
      </c>
      <c r="D62" s="57">
        <v>1439323.774</v>
      </c>
      <c r="E62" s="42"/>
      <c r="F62" s="270">
        <v>1039.675</v>
      </c>
      <c r="G62" s="270">
        <v>401.72300000000001</v>
      </c>
      <c r="H62" s="278">
        <v>637.952</v>
      </c>
      <c r="I62" s="43">
        <f t="shared" si="0"/>
        <v>7.2233573764341918E-2</v>
      </c>
      <c r="J62" s="44">
        <f t="shared" si="1"/>
        <v>0.37052103398916358</v>
      </c>
    </row>
    <row r="63" spans="2:10" ht="21.75" customHeight="1" x14ac:dyDescent="0.35">
      <c r="B63" s="106">
        <v>55</v>
      </c>
      <c r="C63" s="67" t="s">
        <v>114</v>
      </c>
      <c r="D63" s="57">
        <v>10196.707</v>
      </c>
      <c r="E63" s="42"/>
      <c r="F63" s="270">
        <v>1001.963</v>
      </c>
      <c r="G63" s="270">
        <v>522.02700000000004</v>
      </c>
      <c r="H63" s="278">
        <v>479.93599999999998</v>
      </c>
      <c r="I63" s="43">
        <f t="shared" si="0"/>
        <v>9.8263390327877413</v>
      </c>
      <c r="J63" s="44">
        <f t="shared" si="1"/>
        <v>0.35708117130726846</v>
      </c>
    </row>
    <row r="64" spans="2:10" ht="21.75" customHeight="1" x14ac:dyDescent="0.35">
      <c r="B64" s="21">
        <v>56</v>
      </c>
      <c r="C64" s="67" t="s">
        <v>113</v>
      </c>
      <c r="D64" s="57">
        <v>89561.403999999995</v>
      </c>
      <c r="E64" s="42"/>
      <c r="F64" s="270">
        <v>952.87099999999998</v>
      </c>
      <c r="G64" s="270">
        <v>493.81900000000002</v>
      </c>
      <c r="H64" s="278">
        <v>459.05200000000002</v>
      </c>
      <c r="I64" s="43">
        <f t="shared" si="0"/>
        <v>1.0639303957316257</v>
      </c>
      <c r="J64" s="44">
        <f t="shared" si="1"/>
        <v>0.33958568608294737</v>
      </c>
    </row>
    <row r="65" spans="2:10" ht="21.75" customHeight="1" x14ac:dyDescent="0.35">
      <c r="B65" s="106">
        <v>57</v>
      </c>
      <c r="C65" s="67" t="s">
        <v>121</v>
      </c>
      <c r="D65" s="57">
        <v>1701.5830000000001</v>
      </c>
      <c r="E65" s="42"/>
      <c r="F65" s="270">
        <v>936.09400000000005</v>
      </c>
      <c r="G65" s="270">
        <v>241.85599999999999</v>
      </c>
      <c r="H65" s="278">
        <v>694.23800000000006</v>
      </c>
      <c r="I65" s="43">
        <f t="shared" si="0"/>
        <v>55.013126012659974</v>
      </c>
      <c r="J65" s="44">
        <f t="shared" si="1"/>
        <v>0.3336066720764202</v>
      </c>
    </row>
    <row r="66" spans="2:10" ht="21.75" customHeight="1" x14ac:dyDescent="0.35">
      <c r="B66" s="21">
        <v>58</v>
      </c>
      <c r="C66" s="67" t="s">
        <v>116</v>
      </c>
      <c r="D66" s="57">
        <v>11193.728999999999</v>
      </c>
      <c r="E66" s="42"/>
      <c r="F66" s="270">
        <v>882.25199999999995</v>
      </c>
      <c r="G66" s="270">
        <v>438.84699999999998</v>
      </c>
      <c r="H66" s="278">
        <v>443.40499999999997</v>
      </c>
      <c r="I66" s="43">
        <f t="shared" si="0"/>
        <v>7.8816630275755291</v>
      </c>
      <c r="J66" s="44">
        <f t="shared" si="1"/>
        <v>0.31441837427946961</v>
      </c>
    </row>
    <row r="67" spans="2:10" ht="21.75" customHeight="1" x14ac:dyDescent="0.35">
      <c r="B67" s="106">
        <v>59</v>
      </c>
      <c r="C67" s="67" t="s">
        <v>117</v>
      </c>
      <c r="D67" s="57">
        <v>4937.7960000000003</v>
      </c>
      <c r="E67" s="42"/>
      <c r="F67" s="270">
        <v>871.25599999999997</v>
      </c>
      <c r="G67" s="270">
        <v>436.5</v>
      </c>
      <c r="H67" s="278">
        <v>434.75599999999997</v>
      </c>
      <c r="I67" s="43">
        <f t="shared" si="0"/>
        <v>17.644633354638383</v>
      </c>
      <c r="J67" s="44">
        <f t="shared" si="1"/>
        <v>0.31049960226923101</v>
      </c>
    </row>
    <row r="68" spans="2:10" ht="21.75" customHeight="1" x14ac:dyDescent="0.35">
      <c r="B68" s="21">
        <v>60</v>
      </c>
      <c r="C68" s="67" t="s">
        <v>273</v>
      </c>
      <c r="D68" s="57">
        <v>17500.656999999999</v>
      </c>
      <c r="E68" s="42"/>
      <c r="F68" s="270">
        <v>868.71100000000001</v>
      </c>
      <c r="G68" s="270">
        <v>436.43200000000002</v>
      </c>
      <c r="H68" s="278">
        <v>432.279</v>
      </c>
      <c r="I68" s="43">
        <f t="shared" si="0"/>
        <v>4.9638764990365791</v>
      </c>
      <c r="J68" s="44">
        <f t="shared" si="1"/>
        <v>0.30959261111189584</v>
      </c>
    </row>
    <row r="69" spans="2:10" ht="21.75" customHeight="1" x14ac:dyDescent="0.35">
      <c r="B69" s="106">
        <v>61</v>
      </c>
      <c r="C69" s="67" t="s">
        <v>115</v>
      </c>
      <c r="D69" s="57">
        <v>5421.2420000000002</v>
      </c>
      <c r="E69" s="42"/>
      <c r="F69" s="270">
        <v>852.23800000000006</v>
      </c>
      <c r="G69" s="270">
        <v>413.03199999999998</v>
      </c>
      <c r="H69" s="278">
        <v>439.20600000000002</v>
      </c>
      <c r="I69" s="43">
        <f t="shared" si="0"/>
        <v>15.720346001894031</v>
      </c>
      <c r="J69" s="44">
        <f t="shared" si="1"/>
        <v>0.30372193711001694</v>
      </c>
    </row>
    <row r="70" spans="2:10" ht="21.75" customHeight="1" x14ac:dyDescent="0.35">
      <c r="B70" s="21">
        <v>62</v>
      </c>
      <c r="C70" s="67" t="s">
        <v>118</v>
      </c>
      <c r="D70" s="57">
        <v>6871.2870000000003</v>
      </c>
      <c r="E70" s="42"/>
      <c r="F70" s="270">
        <v>826.53700000000003</v>
      </c>
      <c r="G70" s="270">
        <v>232.74</v>
      </c>
      <c r="H70" s="278">
        <v>593.79700000000003</v>
      </c>
      <c r="I70" s="43">
        <f t="shared" si="0"/>
        <v>12.028852818984275</v>
      </c>
      <c r="J70" s="44">
        <f t="shared" si="1"/>
        <v>0.29456257375651174</v>
      </c>
    </row>
    <row r="71" spans="2:10" ht="21.75" customHeight="1" x14ac:dyDescent="0.35">
      <c r="B71" s="106">
        <v>63</v>
      </c>
      <c r="C71" s="67" t="s">
        <v>80</v>
      </c>
      <c r="D71" s="57">
        <v>8737.3700000000008</v>
      </c>
      <c r="E71" s="42"/>
      <c r="F71" s="270">
        <v>823.01099999999997</v>
      </c>
      <c r="G71" s="270">
        <v>460.51799999999997</v>
      </c>
      <c r="H71" s="278">
        <v>362.49299999999999</v>
      </c>
      <c r="I71" s="43">
        <f t="shared" si="0"/>
        <v>9.4194362834582925</v>
      </c>
      <c r="J71" s="44">
        <f t="shared" si="1"/>
        <v>0.29330597225522925</v>
      </c>
    </row>
    <row r="72" spans="2:10" ht="21.75" customHeight="1" x14ac:dyDescent="0.35">
      <c r="B72" s="21">
        <v>64</v>
      </c>
      <c r="C72" s="67" t="s">
        <v>38</v>
      </c>
      <c r="D72" s="57">
        <v>37846.605000000003</v>
      </c>
      <c r="E72" s="42"/>
      <c r="F72" s="270">
        <v>817.25400000000002</v>
      </c>
      <c r="G72" s="270">
        <v>426.80500000000001</v>
      </c>
      <c r="H72" s="278">
        <v>390.44900000000001</v>
      </c>
      <c r="I72" s="43">
        <f t="shared" ref="I72:I135" si="2">(F72/D72)*100</f>
        <v>2.1593852341577269</v>
      </c>
      <c r="J72" s="44">
        <f t="shared" si="1"/>
        <v>0.29125428341720244</v>
      </c>
    </row>
    <row r="73" spans="2:10" ht="21.75" customHeight="1" x14ac:dyDescent="0.35">
      <c r="B73" s="106">
        <v>65</v>
      </c>
      <c r="C73" s="67" t="s">
        <v>143</v>
      </c>
      <c r="D73" s="57">
        <v>17643.060000000001</v>
      </c>
      <c r="E73" s="42"/>
      <c r="F73" s="270">
        <v>784.78700000000003</v>
      </c>
      <c r="G73" s="270">
        <v>377.92700000000002</v>
      </c>
      <c r="H73" s="278">
        <v>406.86</v>
      </c>
      <c r="I73" s="43">
        <f t="shared" si="2"/>
        <v>4.448134280561308</v>
      </c>
      <c r="J73" s="44">
        <f t="shared" ref="J73:J136" si="3">(F73/$F$8)*100</f>
        <v>0.27968364219708441</v>
      </c>
    </row>
    <row r="74" spans="2:10" ht="21.75" customHeight="1" x14ac:dyDescent="0.35">
      <c r="B74" s="21">
        <v>66</v>
      </c>
      <c r="C74" s="67" t="s">
        <v>123</v>
      </c>
      <c r="D74" s="57">
        <v>20903.277999999998</v>
      </c>
      <c r="E74" s="42"/>
      <c r="F74" s="270">
        <v>723.98900000000003</v>
      </c>
      <c r="G74" s="270">
        <v>379.65800000000002</v>
      </c>
      <c r="H74" s="278">
        <v>344.33100000000002</v>
      </c>
      <c r="I74" s="43">
        <f t="shared" si="2"/>
        <v>3.4635189753492259</v>
      </c>
      <c r="J74" s="44">
        <f t="shared" si="3"/>
        <v>0.2580163540306159</v>
      </c>
    </row>
    <row r="75" spans="2:10" ht="21.75" customHeight="1" x14ac:dyDescent="0.35">
      <c r="B75" s="106">
        <v>67</v>
      </c>
      <c r="C75" s="67" t="s">
        <v>122</v>
      </c>
      <c r="D75" s="57">
        <v>5792.2030000000004</v>
      </c>
      <c r="E75" s="42"/>
      <c r="F75" s="270">
        <v>717.57399999999996</v>
      </c>
      <c r="G75" s="270">
        <v>363.09800000000001</v>
      </c>
      <c r="H75" s="278">
        <v>354.476</v>
      </c>
      <c r="I75" s="43">
        <f t="shared" si="2"/>
        <v>12.388619666817615</v>
      </c>
      <c r="J75" s="44">
        <f t="shared" si="3"/>
        <v>0.25573016610358051</v>
      </c>
    </row>
    <row r="76" spans="2:10" ht="21.75" customHeight="1" x14ac:dyDescent="0.35">
      <c r="B76" s="21">
        <v>68</v>
      </c>
      <c r="C76" s="67" t="s">
        <v>41</v>
      </c>
      <c r="D76" s="57">
        <v>19237.682000000001</v>
      </c>
      <c r="E76" s="42"/>
      <c r="F76" s="270">
        <v>705.31</v>
      </c>
      <c r="G76" s="270">
        <v>318.36399999999998</v>
      </c>
      <c r="H76" s="278">
        <v>386.94600000000003</v>
      </c>
      <c r="I76" s="43">
        <f t="shared" si="2"/>
        <v>3.6662940992579038</v>
      </c>
      <c r="J76" s="44">
        <f t="shared" si="3"/>
        <v>0.25135950223184839</v>
      </c>
    </row>
    <row r="77" spans="2:10" ht="21.75" customHeight="1" x14ac:dyDescent="0.35">
      <c r="B77" s="106">
        <v>69</v>
      </c>
      <c r="C77" s="67" t="s">
        <v>124</v>
      </c>
      <c r="D77" s="57">
        <v>32866.267999999996</v>
      </c>
      <c r="E77" s="42"/>
      <c r="F77" s="270">
        <v>656.43399999999997</v>
      </c>
      <c r="G77" s="270">
        <v>325.03300000000002</v>
      </c>
      <c r="H77" s="278">
        <v>331.40100000000001</v>
      </c>
      <c r="I77" s="43">
        <f t="shared" si="2"/>
        <v>1.9972879184214043</v>
      </c>
      <c r="J77" s="44">
        <f t="shared" si="3"/>
        <v>0.23394099543188268</v>
      </c>
    </row>
    <row r="78" spans="2:10" ht="21.75" customHeight="1" x14ac:dyDescent="0.35">
      <c r="B78" s="21">
        <v>70</v>
      </c>
      <c r="C78" s="67" t="s">
        <v>125</v>
      </c>
      <c r="D78" s="57">
        <v>10847.904</v>
      </c>
      <c r="E78" s="42"/>
      <c r="F78" s="270">
        <v>603.79399999999998</v>
      </c>
      <c r="G78" s="270">
        <v>221.25200000000001</v>
      </c>
      <c r="H78" s="278">
        <v>382.54199999999997</v>
      </c>
      <c r="I78" s="43">
        <f t="shared" si="2"/>
        <v>5.5659968967276994</v>
      </c>
      <c r="J78" s="44">
        <f t="shared" si="3"/>
        <v>0.21518106831120595</v>
      </c>
    </row>
    <row r="79" spans="2:10" ht="21.75" customHeight="1" x14ac:dyDescent="0.35">
      <c r="B79" s="106">
        <v>71</v>
      </c>
      <c r="C79" s="67" t="s">
        <v>129</v>
      </c>
      <c r="D79" s="57">
        <v>9660.35</v>
      </c>
      <c r="E79" s="42"/>
      <c r="F79" s="270">
        <v>584.56700000000001</v>
      </c>
      <c r="G79" s="270">
        <v>281.50200000000001</v>
      </c>
      <c r="H79" s="278">
        <v>303.065</v>
      </c>
      <c r="I79" s="43">
        <f t="shared" si="2"/>
        <v>6.0511989731220917</v>
      </c>
      <c r="J79" s="44">
        <f t="shared" si="3"/>
        <v>0.20832891939879619</v>
      </c>
    </row>
    <row r="80" spans="2:10" ht="21.75" customHeight="1" x14ac:dyDescent="0.35">
      <c r="B80" s="21">
        <v>72</v>
      </c>
      <c r="C80" s="67" t="s">
        <v>131</v>
      </c>
      <c r="D80" s="57">
        <v>26545.864000000001</v>
      </c>
      <c r="E80" s="42"/>
      <c r="F80" s="270">
        <v>579.20899999999995</v>
      </c>
      <c r="G80" s="270">
        <v>292.95499999999998</v>
      </c>
      <c r="H80" s="278">
        <v>286.25400000000002</v>
      </c>
      <c r="I80" s="43">
        <f t="shared" si="2"/>
        <v>2.1819180569899701</v>
      </c>
      <c r="J80" s="44">
        <f t="shared" si="3"/>
        <v>0.20641942681687014</v>
      </c>
    </row>
    <row r="81" spans="2:10" ht="21.75" customHeight="1" x14ac:dyDescent="0.35">
      <c r="B81" s="106">
        <v>73</v>
      </c>
      <c r="C81" s="67" t="s">
        <v>128</v>
      </c>
      <c r="D81" s="57">
        <v>16425.859</v>
      </c>
      <c r="E81" s="42"/>
      <c r="F81" s="270">
        <v>547.49400000000003</v>
      </c>
      <c r="G81" s="270">
        <v>297.94600000000003</v>
      </c>
      <c r="H81" s="278">
        <v>249.548</v>
      </c>
      <c r="I81" s="43">
        <f t="shared" si="2"/>
        <v>3.333122486927472</v>
      </c>
      <c r="J81" s="44">
        <f t="shared" si="3"/>
        <v>0.19511678455561898</v>
      </c>
    </row>
    <row r="82" spans="2:10" ht="21.75" customHeight="1" x14ac:dyDescent="0.35">
      <c r="B82" s="21">
        <v>74</v>
      </c>
      <c r="C82" s="67" t="s">
        <v>39</v>
      </c>
      <c r="D82" s="57">
        <v>102334.40300000001</v>
      </c>
      <c r="E82" s="42"/>
      <c r="F82" s="270">
        <v>543.93700000000001</v>
      </c>
      <c r="G82" s="270">
        <v>254.38499999999999</v>
      </c>
      <c r="H82" s="278">
        <v>289.55200000000002</v>
      </c>
      <c r="I82" s="43">
        <f t="shared" si="2"/>
        <v>0.53152897173788172</v>
      </c>
      <c r="J82" s="44">
        <f t="shared" si="3"/>
        <v>0.19384913522491518</v>
      </c>
    </row>
    <row r="83" spans="2:10" ht="21.75" customHeight="1" x14ac:dyDescent="0.35">
      <c r="B83" s="106">
        <v>75</v>
      </c>
      <c r="C83" s="67" t="s">
        <v>127</v>
      </c>
      <c r="D83" s="57">
        <v>10708.982</v>
      </c>
      <c r="E83" s="42"/>
      <c r="F83" s="270">
        <v>540.92100000000005</v>
      </c>
      <c r="G83" s="270">
        <v>227.98</v>
      </c>
      <c r="H83" s="278">
        <v>312.94099999999997</v>
      </c>
      <c r="I83" s="43">
        <f t="shared" si="2"/>
        <v>5.0510963600461745</v>
      </c>
      <c r="J83" s="44">
        <f t="shared" si="3"/>
        <v>0.19277428833669405</v>
      </c>
    </row>
    <row r="84" spans="2:10" ht="21.75" customHeight="1" x14ac:dyDescent="0.35">
      <c r="B84" s="21">
        <v>76</v>
      </c>
      <c r="C84" s="67" t="s">
        <v>79</v>
      </c>
      <c r="D84" s="57">
        <v>4105.268</v>
      </c>
      <c r="E84" s="42"/>
      <c r="F84" s="270">
        <v>528.05600000000004</v>
      </c>
      <c r="G84" s="270">
        <v>282.49200000000002</v>
      </c>
      <c r="H84" s="278">
        <v>245.56399999999999</v>
      </c>
      <c r="I84" s="43">
        <f t="shared" si="2"/>
        <v>12.862887392491796</v>
      </c>
      <c r="J84" s="44">
        <f t="shared" si="3"/>
        <v>0.18818943912682501</v>
      </c>
    </row>
    <row r="85" spans="2:10" ht="21.75" customHeight="1" x14ac:dyDescent="0.35">
      <c r="B85" s="106">
        <v>77</v>
      </c>
      <c r="C85" s="67" t="s">
        <v>135</v>
      </c>
      <c r="D85" s="57">
        <v>5094.1139999999996</v>
      </c>
      <c r="E85" s="42"/>
      <c r="F85" s="270">
        <v>520.72900000000004</v>
      </c>
      <c r="G85" s="270">
        <v>257.09300000000002</v>
      </c>
      <c r="H85" s="278">
        <v>263.63600000000002</v>
      </c>
      <c r="I85" s="43">
        <f t="shared" si="2"/>
        <v>10.222170135964765</v>
      </c>
      <c r="J85" s="44">
        <f t="shared" si="3"/>
        <v>0.18557823118584479</v>
      </c>
    </row>
    <row r="86" spans="2:10" ht="21.75" customHeight="1" x14ac:dyDescent="0.35">
      <c r="B86" s="21">
        <v>78</v>
      </c>
      <c r="C86" s="67" t="s">
        <v>126</v>
      </c>
      <c r="D86" s="57">
        <v>12952.209000000001</v>
      </c>
      <c r="E86" s="42"/>
      <c r="F86" s="270">
        <v>513.90700000000004</v>
      </c>
      <c r="G86" s="270">
        <v>254</v>
      </c>
      <c r="H86" s="278">
        <v>259.90699999999998</v>
      </c>
      <c r="I86" s="43">
        <f t="shared" si="2"/>
        <v>3.9677170125960752</v>
      </c>
      <c r="J86" s="44">
        <f t="shared" si="3"/>
        <v>0.18314699594995468</v>
      </c>
    </row>
    <row r="87" spans="2:10" ht="21.75" customHeight="1" x14ac:dyDescent="0.35">
      <c r="B87" s="106">
        <v>79</v>
      </c>
      <c r="C87" s="67" t="s">
        <v>132</v>
      </c>
      <c r="D87" s="57">
        <v>29136.808000000001</v>
      </c>
      <c r="E87" s="42"/>
      <c r="F87" s="270">
        <v>487.56400000000002</v>
      </c>
      <c r="G87" s="270">
        <v>340.63400000000001</v>
      </c>
      <c r="H87" s="278">
        <v>146.93</v>
      </c>
      <c r="I87" s="43">
        <f t="shared" si="2"/>
        <v>1.673361062749221</v>
      </c>
      <c r="J87" s="44">
        <f t="shared" si="3"/>
        <v>0.17375883561294883</v>
      </c>
    </row>
    <row r="88" spans="2:10" ht="21.75" customHeight="1" x14ac:dyDescent="0.35">
      <c r="B88" s="21">
        <v>80</v>
      </c>
      <c r="C88" s="67" t="s">
        <v>133</v>
      </c>
      <c r="D88" s="57">
        <v>20250.833999999999</v>
      </c>
      <c r="E88" s="42"/>
      <c r="F88" s="270">
        <v>485.82900000000001</v>
      </c>
      <c r="G88" s="270">
        <v>239.52099999999999</v>
      </c>
      <c r="H88" s="278">
        <v>246.30799999999999</v>
      </c>
      <c r="I88" s="43">
        <f t="shared" si="2"/>
        <v>2.3990567499590387</v>
      </c>
      <c r="J88" s="44">
        <f t="shared" si="3"/>
        <v>0.17314051354694629</v>
      </c>
    </row>
    <row r="89" spans="2:10" ht="21.75" customHeight="1" x14ac:dyDescent="0.35">
      <c r="B89" s="106">
        <v>81</v>
      </c>
      <c r="C89" s="67" t="s">
        <v>134</v>
      </c>
      <c r="D89" s="57">
        <v>31072.945</v>
      </c>
      <c r="E89" s="42"/>
      <c r="F89" s="270">
        <v>476.41199999999998</v>
      </c>
      <c r="G89" s="270">
        <v>222.00899999999999</v>
      </c>
      <c r="H89" s="278">
        <v>254.40299999999999</v>
      </c>
      <c r="I89" s="43">
        <f t="shared" si="2"/>
        <v>1.5332051725383609</v>
      </c>
      <c r="J89" s="44">
        <f t="shared" si="3"/>
        <v>0.1697844680740091</v>
      </c>
    </row>
    <row r="90" spans="2:10" ht="21.75" customHeight="1" x14ac:dyDescent="0.35">
      <c r="B90" s="21">
        <v>82</v>
      </c>
      <c r="C90" s="67" t="s">
        <v>130</v>
      </c>
      <c r="D90" s="57">
        <v>59734.213000000003</v>
      </c>
      <c r="E90" s="42"/>
      <c r="F90" s="270">
        <v>426.017</v>
      </c>
      <c r="G90" s="270">
        <v>213.01</v>
      </c>
      <c r="H90" s="278">
        <v>213.00700000000001</v>
      </c>
      <c r="I90" s="43">
        <f t="shared" si="2"/>
        <v>0.71318759987680758</v>
      </c>
      <c r="J90" s="44">
        <f t="shared" si="3"/>
        <v>0.15182461763239619</v>
      </c>
    </row>
    <row r="91" spans="2:10" ht="21.75" customHeight="1" x14ac:dyDescent="0.35">
      <c r="B91" s="106">
        <v>83</v>
      </c>
      <c r="C91" s="67" t="s">
        <v>136</v>
      </c>
      <c r="D91" s="57">
        <v>2225.7280000000001</v>
      </c>
      <c r="E91" s="42"/>
      <c r="F91" s="270">
        <v>416.65100000000001</v>
      </c>
      <c r="G91" s="270">
        <v>148.619</v>
      </c>
      <c r="H91" s="278">
        <v>268.03199999999998</v>
      </c>
      <c r="I91" s="43">
        <f t="shared" si="2"/>
        <v>18.719762702360757</v>
      </c>
      <c r="J91" s="44">
        <f t="shared" si="3"/>
        <v>0.14848674762076516</v>
      </c>
    </row>
    <row r="92" spans="2:10" ht="21.75" customHeight="1" x14ac:dyDescent="0.35">
      <c r="B92" s="21">
        <v>84</v>
      </c>
      <c r="C92" s="67" t="s">
        <v>137</v>
      </c>
      <c r="D92" s="57">
        <v>14862.927</v>
      </c>
      <c r="E92" s="42"/>
      <c r="F92" s="270">
        <v>416.14100000000002</v>
      </c>
      <c r="G92" s="270">
        <v>179.58</v>
      </c>
      <c r="H92" s="278">
        <v>236.56100000000001</v>
      </c>
      <c r="I92" s="43">
        <f t="shared" si="2"/>
        <v>2.7998590048918364</v>
      </c>
      <c r="J92" s="44">
        <f t="shared" si="3"/>
        <v>0.14830499300770389</v>
      </c>
    </row>
    <row r="93" spans="2:10" ht="21.75" customHeight="1" x14ac:dyDescent="0.35">
      <c r="B93" s="106">
        <v>85</v>
      </c>
      <c r="C93" s="67" t="s">
        <v>139</v>
      </c>
      <c r="D93" s="57">
        <v>649.34199999999998</v>
      </c>
      <c r="E93" s="42"/>
      <c r="F93" s="270">
        <v>403.49</v>
      </c>
      <c r="G93" s="270">
        <v>216.16900000000001</v>
      </c>
      <c r="H93" s="278">
        <v>187.321</v>
      </c>
      <c r="I93" s="43">
        <f t="shared" si="2"/>
        <v>62.138287681991919</v>
      </c>
      <c r="J93" s="44">
        <f t="shared" si="3"/>
        <v>0.14379640945900174</v>
      </c>
    </row>
    <row r="94" spans="2:10" ht="21.75" customHeight="1" x14ac:dyDescent="0.35">
      <c r="B94" s="21">
        <v>86</v>
      </c>
      <c r="C94" s="67" t="s">
        <v>140</v>
      </c>
      <c r="D94" s="57">
        <v>12123.198</v>
      </c>
      <c r="E94" s="42"/>
      <c r="F94" s="270">
        <v>394.27600000000001</v>
      </c>
      <c r="G94" s="270">
        <v>208.65700000000001</v>
      </c>
      <c r="H94" s="278">
        <v>185.619</v>
      </c>
      <c r="I94" s="43">
        <f t="shared" si="2"/>
        <v>3.2522441685766417</v>
      </c>
      <c r="J94" s="44">
        <f t="shared" si="3"/>
        <v>0.14051270944969485</v>
      </c>
    </row>
    <row r="95" spans="2:10" ht="21.75" customHeight="1" x14ac:dyDescent="0.35">
      <c r="B95" s="106">
        <v>87</v>
      </c>
      <c r="C95" s="67" t="s">
        <v>138</v>
      </c>
      <c r="D95" s="57">
        <v>5518.0919999999996</v>
      </c>
      <c r="E95" s="42"/>
      <c r="F95" s="270">
        <v>387.60599999999999</v>
      </c>
      <c r="G95" s="270">
        <v>176.203</v>
      </c>
      <c r="H95" s="278">
        <v>211.40299999999999</v>
      </c>
      <c r="I95" s="43">
        <f t="shared" si="2"/>
        <v>7.0242757822812667</v>
      </c>
      <c r="J95" s="44">
        <f t="shared" si="3"/>
        <v>0.13813564421612884</v>
      </c>
    </row>
    <row r="96" spans="2:10" ht="21.75" customHeight="1" x14ac:dyDescent="0.35">
      <c r="B96" s="21">
        <v>88</v>
      </c>
      <c r="C96" s="67" t="s">
        <v>141</v>
      </c>
      <c r="D96" s="57">
        <v>29825.968000000001</v>
      </c>
      <c r="E96" s="42"/>
      <c r="F96" s="270">
        <v>387.113</v>
      </c>
      <c r="G96" s="270">
        <v>163.601</v>
      </c>
      <c r="H96" s="278">
        <v>223.512</v>
      </c>
      <c r="I96" s="43">
        <f t="shared" si="2"/>
        <v>1.2979059053506663</v>
      </c>
      <c r="J96" s="44">
        <f t="shared" si="3"/>
        <v>0.13795994809016962</v>
      </c>
    </row>
    <row r="97" spans="2:10" ht="21.75" customHeight="1" x14ac:dyDescent="0.35">
      <c r="B97" s="106">
        <v>89</v>
      </c>
      <c r="C97" s="67" t="s">
        <v>142</v>
      </c>
      <c r="D97" s="57">
        <v>5540.7179999999998</v>
      </c>
      <c r="E97" s="42"/>
      <c r="F97" s="270">
        <v>386.05200000000002</v>
      </c>
      <c r="G97" s="270">
        <v>187.23</v>
      </c>
      <c r="H97" s="278">
        <v>198.822</v>
      </c>
      <c r="I97" s="43">
        <f t="shared" si="2"/>
        <v>6.9675446395214484</v>
      </c>
      <c r="J97" s="44">
        <f t="shared" si="3"/>
        <v>0.13758182721868334</v>
      </c>
    </row>
    <row r="98" spans="2:10" ht="21.75" customHeight="1" x14ac:dyDescent="0.35">
      <c r="B98" s="21">
        <v>90</v>
      </c>
      <c r="C98" s="67" t="s">
        <v>144</v>
      </c>
      <c r="D98" s="57">
        <v>40222.502999999997</v>
      </c>
      <c r="E98" s="42"/>
      <c r="F98" s="270">
        <v>365.76600000000002</v>
      </c>
      <c r="G98" s="270">
        <v>164.339</v>
      </c>
      <c r="H98" s="278">
        <v>201.42699999999999</v>
      </c>
      <c r="I98" s="43">
        <f t="shared" si="2"/>
        <v>0.90935663551321011</v>
      </c>
      <c r="J98" s="44">
        <f t="shared" si="3"/>
        <v>0.13035227019797574</v>
      </c>
    </row>
    <row r="99" spans="2:10" ht="21.75" customHeight="1" x14ac:dyDescent="0.35">
      <c r="B99" s="106">
        <v>91</v>
      </c>
      <c r="C99" s="67" t="s">
        <v>42</v>
      </c>
      <c r="D99" s="57">
        <v>273523.62099999998</v>
      </c>
      <c r="E99" s="42"/>
      <c r="F99" s="270">
        <v>355.505</v>
      </c>
      <c r="G99" s="270">
        <v>148.96700000000001</v>
      </c>
      <c r="H99" s="278">
        <v>206.53800000000001</v>
      </c>
      <c r="I99" s="43">
        <f t="shared" si="2"/>
        <v>0.12997232147639637</v>
      </c>
      <c r="J99" s="44">
        <f t="shared" si="3"/>
        <v>0.12669543865950186</v>
      </c>
    </row>
    <row r="100" spans="2:10" ht="21.75" customHeight="1" x14ac:dyDescent="0.35">
      <c r="B100" s="21">
        <v>92</v>
      </c>
      <c r="C100" s="67" t="s">
        <v>147</v>
      </c>
      <c r="D100" s="57">
        <v>24206.635999999999</v>
      </c>
      <c r="E100" s="42"/>
      <c r="F100" s="270">
        <v>348.05599999999998</v>
      </c>
      <c r="G100" s="270">
        <v>186.03700000000001</v>
      </c>
      <c r="H100" s="278">
        <v>162.01900000000001</v>
      </c>
      <c r="I100" s="43">
        <f t="shared" si="2"/>
        <v>1.4378536530230801</v>
      </c>
      <c r="J100" s="44">
        <f t="shared" si="3"/>
        <v>0.12404075216402465</v>
      </c>
    </row>
    <row r="101" spans="2:10" ht="21.75" customHeight="1" x14ac:dyDescent="0.35">
      <c r="B101" s="106">
        <v>93</v>
      </c>
      <c r="C101" s="67" t="s">
        <v>146</v>
      </c>
      <c r="D101" s="57">
        <v>11890.781000000001</v>
      </c>
      <c r="E101" s="42"/>
      <c r="F101" s="270">
        <v>344.767</v>
      </c>
      <c r="G101" s="270">
        <v>174.642</v>
      </c>
      <c r="H101" s="278">
        <v>170.125</v>
      </c>
      <c r="I101" s="43">
        <f t="shared" si="2"/>
        <v>2.899447900015987</v>
      </c>
      <c r="J101" s="44">
        <f t="shared" si="3"/>
        <v>0.1228686131005766</v>
      </c>
    </row>
    <row r="102" spans="2:10" ht="21.75" customHeight="1" x14ac:dyDescent="0.35">
      <c r="B102" s="21">
        <v>94</v>
      </c>
      <c r="C102" s="67" t="s">
        <v>145</v>
      </c>
      <c r="D102" s="57">
        <v>31255.435000000001</v>
      </c>
      <c r="E102" s="42"/>
      <c r="F102" s="270">
        <v>338.85</v>
      </c>
      <c r="G102" s="270">
        <v>173.36</v>
      </c>
      <c r="H102" s="278">
        <v>165.49</v>
      </c>
      <c r="I102" s="43">
        <f t="shared" si="2"/>
        <v>1.0841314478585884</v>
      </c>
      <c r="J102" s="44">
        <f t="shared" si="3"/>
        <v>0.12075990320747165</v>
      </c>
    </row>
    <row r="103" spans="2:10" ht="21.75" customHeight="1" x14ac:dyDescent="0.35">
      <c r="B103" s="106">
        <v>95</v>
      </c>
      <c r="C103" s="67" t="s">
        <v>164</v>
      </c>
      <c r="D103" s="57">
        <v>4314.768</v>
      </c>
      <c r="E103" s="42"/>
      <c r="F103" s="270">
        <v>313.16500000000002</v>
      </c>
      <c r="G103" s="270">
        <v>146.108</v>
      </c>
      <c r="H103" s="278">
        <v>167.05699999999999</v>
      </c>
      <c r="I103" s="43">
        <f t="shared" si="2"/>
        <v>7.2579800350795223</v>
      </c>
      <c r="J103" s="44">
        <f t="shared" si="3"/>
        <v>0.11160624195947427</v>
      </c>
    </row>
    <row r="104" spans="2:10" ht="21.75" customHeight="1" x14ac:dyDescent="0.35">
      <c r="B104" s="21">
        <v>96</v>
      </c>
      <c r="C104" s="67" t="s">
        <v>148</v>
      </c>
      <c r="D104" s="57">
        <v>625.976</v>
      </c>
      <c r="E104" s="42"/>
      <c r="F104" s="270">
        <v>298.06200000000001</v>
      </c>
      <c r="G104" s="270">
        <v>146.40899999999999</v>
      </c>
      <c r="H104" s="278">
        <v>151.65299999999999</v>
      </c>
      <c r="I104" s="43">
        <f t="shared" si="2"/>
        <v>47.615563535982211</v>
      </c>
      <c r="J104" s="44">
        <f t="shared" si="3"/>
        <v>0.10622381074170109</v>
      </c>
    </row>
    <row r="105" spans="2:10" ht="21.75" customHeight="1" x14ac:dyDescent="0.35">
      <c r="B105" s="106">
        <v>97</v>
      </c>
      <c r="C105" s="67" t="s">
        <v>274</v>
      </c>
      <c r="D105" s="57">
        <v>8278.7369999999992</v>
      </c>
      <c r="E105" s="42"/>
      <c r="F105" s="270">
        <v>279.93599999999998</v>
      </c>
      <c r="G105" s="270">
        <v>138.12899999999999</v>
      </c>
      <c r="H105" s="278">
        <v>141.80699999999999</v>
      </c>
      <c r="I105" s="43">
        <f t="shared" si="2"/>
        <v>3.3813853489970755</v>
      </c>
      <c r="J105" s="44">
        <f t="shared" si="3"/>
        <v>9.9764037964547081E-2</v>
      </c>
    </row>
    <row r="106" spans="2:10" ht="21.75" customHeight="1" x14ac:dyDescent="0.35">
      <c r="B106" s="21">
        <v>98</v>
      </c>
      <c r="C106" s="67" t="s">
        <v>152</v>
      </c>
      <c r="D106" s="57">
        <v>2078.9319999999998</v>
      </c>
      <c r="E106" s="42"/>
      <c r="F106" s="270">
        <v>277.964</v>
      </c>
      <c r="G106" s="270">
        <v>115.149</v>
      </c>
      <c r="H106" s="278">
        <v>162.815</v>
      </c>
      <c r="I106" s="43">
        <f t="shared" si="2"/>
        <v>13.370519093457602</v>
      </c>
      <c r="J106" s="44">
        <f t="shared" si="3"/>
        <v>9.9061253460710194E-2</v>
      </c>
    </row>
    <row r="107" spans="2:10" ht="21.75" customHeight="1" x14ac:dyDescent="0.35">
      <c r="B107" s="106">
        <v>99</v>
      </c>
      <c r="C107" s="67" t="s">
        <v>150</v>
      </c>
      <c r="D107" s="57">
        <v>9537.6419999999998</v>
      </c>
      <c r="E107" s="42"/>
      <c r="F107" s="270">
        <v>276.03100000000001</v>
      </c>
      <c r="G107" s="270">
        <v>156.857</v>
      </c>
      <c r="H107" s="278">
        <v>119.17400000000001</v>
      </c>
      <c r="I107" s="43">
        <f t="shared" si="2"/>
        <v>2.89412204819598</v>
      </c>
      <c r="J107" s="44">
        <f t="shared" si="3"/>
        <v>9.8372367839048569E-2</v>
      </c>
    </row>
    <row r="108" spans="2:10" ht="21.75" customHeight="1" x14ac:dyDescent="0.35">
      <c r="B108" s="21">
        <v>100</v>
      </c>
      <c r="C108" s="67" t="s">
        <v>149</v>
      </c>
      <c r="D108" s="57">
        <v>16743.93</v>
      </c>
      <c r="E108" s="42"/>
      <c r="F108" s="270">
        <v>274.92899999999997</v>
      </c>
      <c r="G108" s="270">
        <v>129.33799999999999</v>
      </c>
      <c r="H108" s="278">
        <v>145.59100000000001</v>
      </c>
      <c r="I108" s="43">
        <f t="shared" si="2"/>
        <v>1.6419621916718474</v>
      </c>
      <c r="J108" s="44">
        <f t="shared" si="3"/>
        <v>9.7979635322198527E-2</v>
      </c>
    </row>
    <row r="109" spans="2:10" ht="21.75" customHeight="1" x14ac:dyDescent="0.35">
      <c r="B109" s="106">
        <v>101</v>
      </c>
      <c r="C109" s="67" t="s">
        <v>328</v>
      </c>
      <c r="D109" s="57">
        <v>5101.4160000000002</v>
      </c>
      <c r="E109" s="42"/>
      <c r="F109" s="270">
        <v>272.78399999999999</v>
      </c>
      <c r="G109" s="270">
        <v>148.047</v>
      </c>
      <c r="H109" s="278">
        <v>124.73699999999999</v>
      </c>
      <c r="I109" s="43">
        <f t="shared" si="2"/>
        <v>5.3472212421021927</v>
      </c>
      <c r="J109" s="44">
        <f t="shared" si="3"/>
        <v>9.7215196802558496E-2</v>
      </c>
    </row>
    <row r="110" spans="2:10" ht="21.75" customHeight="1" x14ac:dyDescent="0.35">
      <c r="B110" s="21">
        <v>102</v>
      </c>
      <c r="C110" s="67" t="s">
        <v>151</v>
      </c>
      <c r="D110" s="57">
        <v>10139.174999999999</v>
      </c>
      <c r="E110" s="42"/>
      <c r="F110" s="270">
        <v>252.22800000000001</v>
      </c>
      <c r="G110" s="270">
        <v>131.221</v>
      </c>
      <c r="H110" s="278">
        <v>121.00700000000001</v>
      </c>
      <c r="I110" s="43">
        <f t="shared" si="2"/>
        <v>2.4876580195134226</v>
      </c>
      <c r="J110" s="44">
        <f t="shared" si="3"/>
        <v>8.9889416751406701E-2</v>
      </c>
    </row>
    <row r="111" spans="2:10" ht="21.75" customHeight="1" x14ac:dyDescent="0.35">
      <c r="B111" s="106">
        <v>103</v>
      </c>
      <c r="C111" s="67" t="s">
        <v>153</v>
      </c>
      <c r="D111" s="57">
        <v>43851.042999999998</v>
      </c>
      <c r="E111" s="42"/>
      <c r="F111" s="270">
        <v>250.37799999999999</v>
      </c>
      <c r="G111" s="270">
        <v>118.236</v>
      </c>
      <c r="H111" s="278">
        <v>132.142</v>
      </c>
      <c r="I111" s="43">
        <f t="shared" si="2"/>
        <v>0.57097387626561125</v>
      </c>
      <c r="J111" s="44">
        <f t="shared" si="3"/>
        <v>8.9230110802066803E-2</v>
      </c>
    </row>
    <row r="112" spans="2:10" ht="21.75" customHeight="1" x14ac:dyDescent="0.35">
      <c r="B112" s="21">
        <v>104</v>
      </c>
      <c r="C112" s="67" t="s">
        <v>58</v>
      </c>
      <c r="D112" s="57">
        <v>2860.84</v>
      </c>
      <c r="E112" s="42"/>
      <c r="F112" s="270">
        <v>247.13200000000001</v>
      </c>
      <c r="G112" s="270">
        <v>132.26400000000001</v>
      </c>
      <c r="H112" s="278">
        <v>114.86799999999999</v>
      </c>
      <c r="I112" s="43">
        <f t="shared" si="2"/>
        <v>8.6384418562380265</v>
      </c>
      <c r="J112" s="44">
        <f t="shared" si="3"/>
        <v>8.8073296147170965E-2</v>
      </c>
    </row>
    <row r="113" spans="2:10" ht="21.75" customHeight="1" x14ac:dyDescent="0.35">
      <c r="B113" s="106">
        <v>105</v>
      </c>
      <c r="C113" s="67" t="s">
        <v>155</v>
      </c>
      <c r="D113" s="57">
        <v>1886.202</v>
      </c>
      <c r="E113" s="42"/>
      <c r="F113" s="270">
        <v>239.422</v>
      </c>
      <c r="G113" s="270">
        <v>142.4</v>
      </c>
      <c r="H113" s="278">
        <v>97.022000000000006</v>
      </c>
      <c r="I113" s="43">
        <f t="shared" si="2"/>
        <v>12.693338253272978</v>
      </c>
      <c r="J113" s="44">
        <f t="shared" si="3"/>
        <v>8.5325594055597684E-2</v>
      </c>
    </row>
    <row r="114" spans="2:10" ht="21.75" customHeight="1" x14ac:dyDescent="0.35">
      <c r="B114" s="21">
        <v>106</v>
      </c>
      <c r="C114" s="67" t="s">
        <v>156</v>
      </c>
      <c r="D114" s="57">
        <v>1402.9849999999999</v>
      </c>
      <c r="E114" s="42"/>
      <c r="F114" s="270">
        <v>230.61799999999999</v>
      </c>
      <c r="G114" s="270">
        <v>52.902000000000001</v>
      </c>
      <c r="H114" s="278">
        <v>177.71600000000001</v>
      </c>
      <c r="I114" s="43">
        <f t="shared" si="2"/>
        <v>16.437666831790789</v>
      </c>
      <c r="J114" s="44">
        <f t="shared" si="3"/>
        <v>8.2188010499928285E-2</v>
      </c>
    </row>
    <row r="115" spans="2:10" ht="21.75" customHeight="1" x14ac:dyDescent="0.35">
      <c r="B115" s="106">
        <v>107</v>
      </c>
      <c r="C115" s="67" t="s">
        <v>36</v>
      </c>
      <c r="D115" s="57">
        <v>109581.08500000001</v>
      </c>
      <c r="E115" s="42"/>
      <c r="F115" s="270">
        <v>225.52500000000001</v>
      </c>
      <c r="G115" s="270">
        <v>108.42</v>
      </c>
      <c r="H115" s="278">
        <v>117.105</v>
      </c>
      <c r="I115" s="43">
        <f t="shared" si="2"/>
        <v>0.20580650392355579</v>
      </c>
      <c r="J115" s="44">
        <f t="shared" si="3"/>
        <v>8.037295904047527E-2</v>
      </c>
    </row>
    <row r="116" spans="2:10" ht="21.75" customHeight="1" x14ac:dyDescent="0.35">
      <c r="B116" s="21">
        <v>108</v>
      </c>
      <c r="C116" s="67" t="s">
        <v>157</v>
      </c>
      <c r="D116" s="57">
        <v>2416.6640000000002</v>
      </c>
      <c r="E116" s="42"/>
      <c r="F116" s="270">
        <v>215.65899999999999</v>
      </c>
      <c r="G116" s="270">
        <v>101.893</v>
      </c>
      <c r="H116" s="278">
        <v>113.76600000000001</v>
      </c>
      <c r="I116" s="43">
        <f t="shared" si="2"/>
        <v>8.9238305366405903</v>
      </c>
      <c r="J116" s="44">
        <f t="shared" si="3"/>
        <v>7.6856898231725326E-2</v>
      </c>
    </row>
    <row r="117" spans="2:10" ht="21.75" customHeight="1" x14ac:dyDescent="0.35">
      <c r="B117" s="106">
        <v>109</v>
      </c>
      <c r="C117" s="67" t="s">
        <v>161</v>
      </c>
      <c r="D117" s="57">
        <v>1326.539</v>
      </c>
      <c r="E117" s="42"/>
      <c r="F117" s="270">
        <v>199.27699999999999</v>
      </c>
      <c r="G117" s="270">
        <v>112.51</v>
      </c>
      <c r="H117" s="278">
        <v>86.766999999999996</v>
      </c>
      <c r="I117" s="43">
        <f t="shared" si="2"/>
        <v>15.02232501268338</v>
      </c>
      <c r="J117" s="44">
        <f t="shared" si="3"/>
        <v>7.1018654954922017E-2</v>
      </c>
    </row>
    <row r="118" spans="2:10" ht="21.75" customHeight="1" x14ac:dyDescent="0.35">
      <c r="B118" s="21">
        <v>110</v>
      </c>
      <c r="C118" s="67" t="s">
        <v>158</v>
      </c>
      <c r="D118" s="57">
        <v>6524.1909999999998</v>
      </c>
      <c r="E118" s="42"/>
      <c r="F118" s="270">
        <v>199.011</v>
      </c>
      <c r="G118" s="270">
        <v>118.55500000000001</v>
      </c>
      <c r="H118" s="278">
        <v>80.456000000000003</v>
      </c>
      <c r="I118" s="43">
        <f t="shared" si="2"/>
        <v>3.0503552087914039</v>
      </c>
      <c r="J118" s="44">
        <f t="shared" si="3"/>
        <v>7.0923857450854777E-2</v>
      </c>
    </row>
    <row r="119" spans="2:10" ht="21.75" customHeight="1" x14ac:dyDescent="0.35">
      <c r="B119" s="106">
        <v>111</v>
      </c>
      <c r="C119" s="67" t="s">
        <v>163</v>
      </c>
      <c r="D119" s="57">
        <v>5459.643</v>
      </c>
      <c r="E119" s="42"/>
      <c r="F119" s="270">
        <v>197.161</v>
      </c>
      <c r="G119" s="270">
        <v>96.61</v>
      </c>
      <c r="H119" s="278">
        <v>100.551</v>
      </c>
      <c r="I119" s="43">
        <f t="shared" si="2"/>
        <v>3.611243445771088</v>
      </c>
      <c r="J119" s="44">
        <f t="shared" si="3"/>
        <v>7.026455150151488E-2</v>
      </c>
    </row>
    <row r="120" spans="2:10" ht="21.75" customHeight="1" x14ac:dyDescent="0.35">
      <c r="B120" s="21">
        <v>112</v>
      </c>
      <c r="C120" s="67" t="s">
        <v>159</v>
      </c>
      <c r="D120" s="57">
        <v>6031.1869999999999</v>
      </c>
      <c r="E120" s="42"/>
      <c r="F120" s="270">
        <v>194.92</v>
      </c>
      <c r="G120" s="270">
        <v>102.563</v>
      </c>
      <c r="H120" s="278">
        <v>92.356999999999999</v>
      </c>
      <c r="I120" s="43">
        <f t="shared" si="2"/>
        <v>3.2318679556777128</v>
      </c>
      <c r="J120" s="44">
        <f t="shared" si="3"/>
        <v>6.9465900348828005E-2</v>
      </c>
    </row>
    <row r="121" spans="2:10" ht="21.75" customHeight="1" x14ac:dyDescent="0.35">
      <c r="B121" s="106">
        <v>113</v>
      </c>
      <c r="C121" s="67" t="s">
        <v>154</v>
      </c>
      <c r="D121" s="57">
        <v>19129.955000000002</v>
      </c>
      <c r="E121" s="42"/>
      <c r="F121" s="270">
        <v>191.36199999999999</v>
      </c>
      <c r="G121" s="270">
        <v>97.75</v>
      </c>
      <c r="H121" s="278">
        <v>93.611999999999995</v>
      </c>
      <c r="I121" s="43">
        <f t="shared" si="2"/>
        <v>1.0003264513690702</v>
      </c>
      <c r="J121" s="44">
        <f t="shared" si="3"/>
        <v>6.8197894636530004E-2</v>
      </c>
    </row>
    <row r="122" spans="2:10" ht="21.75" customHeight="1" x14ac:dyDescent="0.35">
      <c r="B122" s="21">
        <v>114</v>
      </c>
      <c r="C122" s="67" t="s">
        <v>160</v>
      </c>
      <c r="D122" s="57">
        <v>1207.3610000000001</v>
      </c>
      <c r="E122" s="42"/>
      <c r="F122" s="270">
        <v>190.36600000000001</v>
      </c>
      <c r="G122" s="270">
        <v>104.687</v>
      </c>
      <c r="H122" s="278">
        <v>85.679000000000002</v>
      </c>
      <c r="I122" s="43">
        <f t="shared" si="2"/>
        <v>15.767115220716917</v>
      </c>
      <c r="J122" s="44">
        <f t="shared" si="3"/>
        <v>6.7842938568669173E-2</v>
      </c>
    </row>
    <row r="123" spans="2:10" ht="21.75" customHeight="1" x14ac:dyDescent="0.35">
      <c r="B123" s="106">
        <v>115</v>
      </c>
      <c r="C123" s="67" t="s">
        <v>162</v>
      </c>
      <c r="D123" s="57">
        <v>2963.2339999999999</v>
      </c>
      <c r="E123" s="42"/>
      <c r="F123" s="270">
        <v>190.34899999999999</v>
      </c>
      <c r="G123" s="270">
        <v>112.264</v>
      </c>
      <c r="H123" s="278">
        <v>78.084999999999994</v>
      </c>
      <c r="I123" s="43">
        <f t="shared" si="2"/>
        <v>6.4236911428527073</v>
      </c>
      <c r="J123" s="44">
        <f t="shared" si="3"/>
        <v>6.7836880081567116E-2</v>
      </c>
    </row>
    <row r="124" spans="2:10" ht="21.75" customHeight="1" x14ac:dyDescent="0.35">
      <c r="B124" s="21">
        <v>116</v>
      </c>
      <c r="C124" s="67" t="s">
        <v>166</v>
      </c>
      <c r="D124" s="57">
        <v>18383.955999999998</v>
      </c>
      <c r="E124" s="42"/>
      <c r="F124" s="270">
        <v>187.95500000000001</v>
      </c>
      <c r="G124" s="270">
        <v>90.399000000000001</v>
      </c>
      <c r="H124" s="278">
        <v>97.555999999999997</v>
      </c>
      <c r="I124" s="43">
        <f t="shared" si="2"/>
        <v>1.0223860413939201</v>
      </c>
      <c r="J124" s="44">
        <f t="shared" si="3"/>
        <v>6.6983702544961887E-2</v>
      </c>
    </row>
    <row r="125" spans="2:10" ht="21.75" customHeight="1" x14ac:dyDescent="0.35">
      <c r="B125" s="106">
        <v>117</v>
      </c>
      <c r="C125" s="67" t="s">
        <v>167</v>
      </c>
      <c r="D125" s="57">
        <v>6948.4449999999997</v>
      </c>
      <c r="E125" s="42"/>
      <c r="F125" s="270">
        <v>184.363</v>
      </c>
      <c r="G125" s="270">
        <v>92.778000000000006</v>
      </c>
      <c r="H125" s="278">
        <v>91.584999999999994</v>
      </c>
      <c r="I125" s="43">
        <f t="shared" si="2"/>
        <v>2.6532986876919944</v>
      </c>
      <c r="J125" s="44">
        <f t="shared" si="3"/>
        <v>6.5703579858459774E-2</v>
      </c>
    </row>
    <row r="126" spans="2:10" ht="21.75" customHeight="1" x14ac:dyDescent="0.35">
      <c r="B126" s="21">
        <v>118</v>
      </c>
      <c r="C126" s="67" t="s">
        <v>165</v>
      </c>
      <c r="D126" s="57">
        <v>4649.66</v>
      </c>
      <c r="E126" s="42"/>
      <c r="F126" s="270">
        <v>182.286</v>
      </c>
      <c r="G126" s="270">
        <v>79.082999999999998</v>
      </c>
      <c r="H126" s="278">
        <v>103.203</v>
      </c>
      <c r="I126" s="43">
        <f t="shared" si="2"/>
        <v>3.9204156863082464</v>
      </c>
      <c r="J126" s="44">
        <f t="shared" si="3"/>
        <v>6.4963375287227912E-2</v>
      </c>
    </row>
    <row r="127" spans="2:10" ht="21.75" customHeight="1" x14ac:dyDescent="0.35">
      <c r="B127" s="106">
        <v>119</v>
      </c>
      <c r="C127" s="67" t="s">
        <v>168</v>
      </c>
      <c r="D127" s="57">
        <v>7132.53</v>
      </c>
      <c r="E127" s="42"/>
      <c r="F127" s="270">
        <v>169.56700000000001</v>
      </c>
      <c r="G127" s="270">
        <v>81.256</v>
      </c>
      <c r="H127" s="278">
        <v>88.311000000000007</v>
      </c>
      <c r="I127" s="43">
        <f t="shared" si="2"/>
        <v>2.3773752090772842</v>
      </c>
      <c r="J127" s="44">
        <f t="shared" si="3"/>
        <v>6.0430557790117585E-2</v>
      </c>
    </row>
    <row r="128" spans="2:10" ht="21.75" customHeight="1" x14ac:dyDescent="0.35">
      <c r="B128" s="21">
        <v>120</v>
      </c>
      <c r="C128" s="67" t="s">
        <v>275</v>
      </c>
      <c r="D128" s="57">
        <v>11673.029</v>
      </c>
      <c r="E128" s="41"/>
      <c r="F128" s="270">
        <v>164.12100000000001</v>
      </c>
      <c r="G128" s="270">
        <v>78.16</v>
      </c>
      <c r="H128" s="278">
        <v>85.960999999999999</v>
      </c>
      <c r="I128" s="43">
        <f t="shared" si="2"/>
        <v>1.4059846848662845</v>
      </c>
      <c r="J128" s="44">
        <f t="shared" si="3"/>
        <v>5.8489703627898647E-2</v>
      </c>
    </row>
    <row r="129" spans="2:10" ht="21.75" customHeight="1" x14ac:dyDescent="0.35">
      <c r="B129" s="106">
        <v>121</v>
      </c>
      <c r="C129" s="67" t="s">
        <v>173</v>
      </c>
      <c r="D129" s="57">
        <v>2722.2910000000002</v>
      </c>
      <c r="E129" s="42"/>
      <c r="F129" s="270">
        <v>145.184</v>
      </c>
      <c r="G129" s="270">
        <v>72.036000000000001</v>
      </c>
      <c r="H129" s="278">
        <v>73.147999999999996</v>
      </c>
      <c r="I129" s="43">
        <f t="shared" si="2"/>
        <v>5.3331550521233764</v>
      </c>
      <c r="J129" s="44">
        <f t="shared" si="3"/>
        <v>5.1740905377817802E-2</v>
      </c>
    </row>
    <row r="130" spans="2:10" ht="21.75" customHeight="1" x14ac:dyDescent="0.35">
      <c r="B130" s="21">
        <v>122</v>
      </c>
      <c r="C130" s="67" t="s">
        <v>32</v>
      </c>
      <c r="D130" s="57">
        <v>38928.341</v>
      </c>
      <c r="E130" s="42"/>
      <c r="F130" s="270">
        <v>144.09800000000001</v>
      </c>
      <c r="G130" s="270">
        <v>74.909000000000006</v>
      </c>
      <c r="H130" s="278">
        <v>69.188999999999993</v>
      </c>
      <c r="I130" s="43">
        <f t="shared" si="2"/>
        <v>0.37016219108849263</v>
      </c>
      <c r="J130" s="44">
        <f t="shared" si="3"/>
        <v>5.1353874966475588E-2</v>
      </c>
    </row>
    <row r="131" spans="2:10" ht="21.75" customHeight="1" x14ac:dyDescent="0.35">
      <c r="B131" s="106">
        <v>123</v>
      </c>
      <c r="C131" s="67" t="s">
        <v>170</v>
      </c>
      <c r="D131" s="57">
        <v>895.30799999999999</v>
      </c>
      <c r="E131" s="42"/>
      <c r="F131" s="270">
        <v>131.76900000000001</v>
      </c>
      <c r="G131" s="270">
        <v>64.917000000000002</v>
      </c>
      <c r="H131" s="278">
        <v>66.852000000000004</v>
      </c>
      <c r="I131" s="43">
        <f t="shared" si="2"/>
        <v>14.717728424184751</v>
      </c>
      <c r="J131" s="44">
        <f t="shared" si="3"/>
        <v>4.6960046291117996E-2</v>
      </c>
    </row>
    <row r="132" spans="2:10" ht="21.75" customHeight="1" x14ac:dyDescent="0.35">
      <c r="B132" s="21">
        <v>124</v>
      </c>
      <c r="C132" s="67" t="s">
        <v>169</v>
      </c>
      <c r="D132" s="57">
        <v>2083.38</v>
      </c>
      <c r="E132" s="42"/>
      <c r="F132" s="270">
        <v>131.31100000000001</v>
      </c>
      <c r="G132" s="270">
        <v>76.570999999999998</v>
      </c>
      <c r="H132" s="278">
        <v>54.74</v>
      </c>
      <c r="I132" s="43">
        <f t="shared" si="2"/>
        <v>6.3027868175752859</v>
      </c>
      <c r="J132" s="44">
        <f t="shared" si="3"/>
        <v>4.6796823520957091E-2</v>
      </c>
    </row>
    <row r="133" spans="2:10" ht="21.75" customHeight="1" x14ac:dyDescent="0.35">
      <c r="B133" s="106">
        <v>125</v>
      </c>
      <c r="C133" s="67" t="s">
        <v>171</v>
      </c>
      <c r="D133" s="57">
        <v>13132.791999999999</v>
      </c>
      <c r="E133" s="42"/>
      <c r="F133" s="270">
        <v>121.437</v>
      </c>
      <c r="G133" s="270">
        <v>50.052</v>
      </c>
      <c r="H133" s="278">
        <v>71.385000000000005</v>
      </c>
      <c r="I133" s="43">
        <f t="shared" si="2"/>
        <v>0.92468532205489895</v>
      </c>
      <c r="J133" s="44">
        <f t="shared" si="3"/>
        <v>4.3277911659453251E-2</v>
      </c>
    </row>
    <row r="134" spans="2:10" ht="21.75" customHeight="1" x14ac:dyDescent="0.35">
      <c r="B134" s="21">
        <v>126</v>
      </c>
      <c r="C134" s="67" t="s">
        <v>174</v>
      </c>
      <c r="D134" s="57">
        <v>988.00199999999995</v>
      </c>
      <c r="E134" s="42"/>
      <c r="F134" s="270">
        <v>119.738</v>
      </c>
      <c r="G134" s="270">
        <v>56.875</v>
      </c>
      <c r="H134" s="278">
        <v>62.863</v>
      </c>
      <c r="I134" s="43">
        <f t="shared" si="2"/>
        <v>12.119206236424624</v>
      </c>
      <c r="J134" s="44">
        <f t="shared" si="3"/>
        <v>4.2672419330843266E-2</v>
      </c>
    </row>
    <row r="135" spans="2:10" ht="21.75" customHeight="1" x14ac:dyDescent="0.35">
      <c r="B135" s="106">
        <v>127</v>
      </c>
      <c r="C135" s="67" t="s">
        <v>172</v>
      </c>
      <c r="D135" s="57">
        <v>298.68200000000002</v>
      </c>
      <c r="E135" s="42"/>
      <c r="F135" s="270">
        <v>119.249</v>
      </c>
      <c r="G135" s="270">
        <v>62.606999999999999</v>
      </c>
      <c r="H135" s="278">
        <v>56.642000000000003</v>
      </c>
      <c r="I135" s="43">
        <f t="shared" si="2"/>
        <v>39.925070811096745</v>
      </c>
      <c r="J135" s="44">
        <f t="shared" si="3"/>
        <v>4.2498148731260989E-2</v>
      </c>
    </row>
    <row r="136" spans="2:10" ht="21.75" customHeight="1" x14ac:dyDescent="0.35">
      <c r="B136" s="21">
        <v>128</v>
      </c>
      <c r="C136" s="67" t="s">
        <v>182</v>
      </c>
      <c r="D136" s="57">
        <v>441.53899999999999</v>
      </c>
      <c r="E136" s="42"/>
      <c r="F136" s="270">
        <v>114.76</v>
      </c>
      <c r="G136" s="270">
        <v>48.704999999999998</v>
      </c>
      <c r="H136" s="278">
        <v>66.055000000000007</v>
      </c>
      <c r="I136" s="43">
        <f t="shared" ref="I136:I199" si="4">(F136/D136)*100</f>
        <v>25.990909070319951</v>
      </c>
      <c r="J136" s="44">
        <f t="shared" si="3"/>
        <v>4.0898351754727599E-2</v>
      </c>
    </row>
    <row r="137" spans="2:10" ht="21.75" customHeight="1" x14ac:dyDescent="0.35">
      <c r="B137" s="106">
        <v>129</v>
      </c>
      <c r="C137" s="67" t="s">
        <v>175</v>
      </c>
      <c r="D137" s="57">
        <v>437.483</v>
      </c>
      <c r="E137" s="42"/>
      <c r="F137" s="270">
        <v>111.959</v>
      </c>
      <c r="G137" s="270">
        <v>48.552</v>
      </c>
      <c r="H137" s="278">
        <v>63.406999999999996</v>
      </c>
      <c r="I137" s="43">
        <f t="shared" si="4"/>
        <v>25.591622988778994</v>
      </c>
      <c r="J137" s="44">
        <f t="shared" ref="J137:J200" si="5">(F137/$F$8)*100</f>
        <v>3.9900126909267579E-2</v>
      </c>
    </row>
    <row r="138" spans="2:10" ht="21.75" customHeight="1" x14ac:dyDescent="0.35">
      <c r="B138" s="21">
        <v>130</v>
      </c>
      <c r="C138" s="67" t="s">
        <v>190</v>
      </c>
      <c r="D138" s="57">
        <v>272.81299999999999</v>
      </c>
      <c r="E138" s="42"/>
      <c r="F138" s="270">
        <v>111.54</v>
      </c>
      <c r="G138" s="270">
        <v>59.930999999999997</v>
      </c>
      <c r="H138" s="278">
        <v>51.609000000000002</v>
      </c>
      <c r="I138" s="43">
        <f t="shared" si="4"/>
        <v>40.885148435008603</v>
      </c>
      <c r="J138" s="44">
        <f t="shared" si="5"/>
        <v>3.975080302128195E-2</v>
      </c>
    </row>
    <row r="139" spans="2:10" ht="21.75" customHeight="1" x14ac:dyDescent="0.35">
      <c r="B139" s="106">
        <v>131</v>
      </c>
      <c r="C139" s="67" t="s">
        <v>176</v>
      </c>
      <c r="D139" s="57">
        <v>2351.625</v>
      </c>
      <c r="E139" s="42"/>
      <c r="F139" s="270">
        <v>110.268</v>
      </c>
      <c r="G139" s="270">
        <v>47.451000000000001</v>
      </c>
      <c r="H139" s="278">
        <v>62.817</v>
      </c>
      <c r="I139" s="43">
        <f t="shared" si="4"/>
        <v>4.6890129166002232</v>
      </c>
      <c r="J139" s="44">
        <f t="shared" si="5"/>
        <v>3.929748563341149E-2</v>
      </c>
    </row>
    <row r="140" spans="2:10" ht="21.75" customHeight="1" x14ac:dyDescent="0.35">
      <c r="B140" s="21">
        <v>132</v>
      </c>
      <c r="C140" s="67" t="s">
        <v>177</v>
      </c>
      <c r="D140" s="57">
        <v>2540.9160000000002</v>
      </c>
      <c r="E140" s="42"/>
      <c r="F140" s="270">
        <v>109.39100000000001</v>
      </c>
      <c r="G140" s="270">
        <v>50.366999999999997</v>
      </c>
      <c r="H140" s="278">
        <v>59.024000000000001</v>
      </c>
      <c r="I140" s="43">
        <f t="shared" si="4"/>
        <v>4.3051797068458777</v>
      </c>
      <c r="J140" s="44">
        <f t="shared" si="5"/>
        <v>3.8984938975264956E-2</v>
      </c>
    </row>
    <row r="141" spans="2:10" ht="21.75" customHeight="1" x14ac:dyDescent="0.35">
      <c r="B141" s="106">
        <v>133</v>
      </c>
      <c r="C141" s="67" t="s">
        <v>184</v>
      </c>
      <c r="D141" s="57">
        <v>3473.7269999999999</v>
      </c>
      <c r="E141" s="42"/>
      <c r="F141" s="270">
        <v>108.267</v>
      </c>
      <c r="G141" s="270">
        <v>57.33</v>
      </c>
      <c r="H141" s="278">
        <v>50.936999999999998</v>
      </c>
      <c r="I141" s="43">
        <f t="shared" si="4"/>
        <v>3.1167388801710669</v>
      </c>
      <c r="J141" s="44">
        <f t="shared" si="5"/>
        <v>3.8584366063341695E-2</v>
      </c>
    </row>
    <row r="142" spans="2:10" ht="21.75" customHeight="1" x14ac:dyDescent="0.35">
      <c r="B142" s="21">
        <v>134</v>
      </c>
      <c r="C142" s="67" t="s">
        <v>322</v>
      </c>
      <c r="D142" s="57">
        <v>4033.9630000000002</v>
      </c>
      <c r="E142" s="42"/>
      <c r="F142" s="270">
        <v>104.438</v>
      </c>
      <c r="G142" s="270">
        <v>61.695</v>
      </c>
      <c r="H142" s="278">
        <v>42.743000000000002</v>
      </c>
      <c r="I142" s="43">
        <f t="shared" si="4"/>
        <v>2.5889677223117813</v>
      </c>
      <c r="J142" s="44">
        <f t="shared" si="5"/>
        <v>3.7219780939005236E-2</v>
      </c>
    </row>
    <row r="143" spans="2:10" ht="21.75" customHeight="1" x14ac:dyDescent="0.35">
      <c r="B143" s="106">
        <v>135</v>
      </c>
      <c r="C143" s="67" t="s">
        <v>179</v>
      </c>
      <c r="D143" s="57">
        <v>36910.557999999997</v>
      </c>
      <c r="E143" s="41"/>
      <c r="F143" s="270">
        <v>102.358</v>
      </c>
      <c r="G143" s="270">
        <v>49.651000000000003</v>
      </c>
      <c r="H143" s="278">
        <v>52.707000000000001</v>
      </c>
      <c r="I143" s="43">
        <f t="shared" si="4"/>
        <v>0.27731360766748636</v>
      </c>
      <c r="J143" s="44">
        <f t="shared" si="5"/>
        <v>3.6478507222990661E-2</v>
      </c>
    </row>
    <row r="144" spans="2:10" ht="21.75" customHeight="1" x14ac:dyDescent="0.35">
      <c r="B144" s="21">
        <v>136</v>
      </c>
      <c r="C144" s="67" t="s">
        <v>178</v>
      </c>
      <c r="D144" s="57">
        <v>400.12700000000001</v>
      </c>
      <c r="E144" s="42"/>
      <c r="F144" s="270">
        <v>90.206000000000003</v>
      </c>
      <c r="G144" s="270">
        <v>52.292000000000002</v>
      </c>
      <c r="H144" s="278">
        <v>37.914000000000001</v>
      </c>
      <c r="I144" s="43">
        <f t="shared" si="4"/>
        <v>22.544342171360594</v>
      </c>
      <c r="J144" s="44">
        <f t="shared" si="5"/>
        <v>3.2147758089813155E-2</v>
      </c>
    </row>
    <row r="145" spans="2:10" ht="21.75" customHeight="1" x14ac:dyDescent="0.35">
      <c r="B145" s="106">
        <v>137</v>
      </c>
      <c r="C145" s="67" t="s">
        <v>181</v>
      </c>
      <c r="D145" s="57">
        <v>4829.7640000000001</v>
      </c>
      <c r="E145" s="42"/>
      <c r="F145" s="270">
        <v>88.546000000000006</v>
      </c>
      <c r="G145" s="270">
        <v>42.189</v>
      </c>
      <c r="H145" s="278">
        <v>46.356999999999999</v>
      </c>
      <c r="I145" s="43">
        <f t="shared" si="4"/>
        <v>1.8333400969488365</v>
      </c>
      <c r="J145" s="44">
        <f t="shared" si="5"/>
        <v>3.1556164643378445E-2</v>
      </c>
    </row>
    <row r="146" spans="2:10" ht="21.75" customHeight="1" x14ac:dyDescent="0.35">
      <c r="B146" s="21">
        <v>138</v>
      </c>
      <c r="C146" s="67" t="s">
        <v>180</v>
      </c>
      <c r="D146" s="57">
        <v>5057.6769999999997</v>
      </c>
      <c r="E146" s="42"/>
      <c r="F146" s="270">
        <v>87.947000000000003</v>
      </c>
      <c r="G146" s="270">
        <v>37.253</v>
      </c>
      <c r="H146" s="278">
        <v>50.694000000000003</v>
      </c>
      <c r="I146" s="43">
        <f t="shared" si="4"/>
        <v>1.7388813085533144</v>
      </c>
      <c r="J146" s="44">
        <f t="shared" si="5"/>
        <v>3.134269206843001E-2</v>
      </c>
    </row>
    <row r="147" spans="2:10" ht="21.75" customHeight="1" x14ac:dyDescent="0.35">
      <c r="B147" s="106">
        <v>139</v>
      </c>
      <c r="C147" s="67" t="s">
        <v>185</v>
      </c>
      <c r="D147" s="57">
        <v>17915.566999999999</v>
      </c>
      <c r="E147" s="42"/>
      <c r="F147" s="270">
        <v>84.311000000000007</v>
      </c>
      <c r="G147" s="270">
        <v>44.395000000000003</v>
      </c>
      <c r="H147" s="278">
        <v>39.915999999999997</v>
      </c>
      <c r="I147" s="43">
        <f t="shared" si="4"/>
        <v>0.47060190726868995</v>
      </c>
      <c r="J147" s="44">
        <f t="shared" si="5"/>
        <v>3.0046888591781444E-2</v>
      </c>
    </row>
    <row r="148" spans="2:10" ht="21.75" customHeight="1" x14ac:dyDescent="0.35">
      <c r="B148" s="21">
        <v>140</v>
      </c>
      <c r="C148" s="67" t="s">
        <v>183</v>
      </c>
      <c r="D148" s="57">
        <v>173.85900000000001</v>
      </c>
      <c r="E148" s="42"/>
      <c r="F148" s="270">
        <v>84.087000000000003</v>
      </c>
      <c r="G148" s="270">
        <v>43.896999999999998</v>
      </c>
      <c r="H148" s="278">
        <v>40.19</v>
      </c>
      <c r="I148" s="43">
        <f t="shared" si="4"/>
        <v>48.365054440667436</v>
      </c>
      <c r="J148" s="44">
        <f t="shared" si="5"/>
        <v>2.9967059114672182E-2</v>
      </c>
    </row>
    <row r="149" spans="2:10" ht="21.75" customHeight="1" x14ac:dyDescent="0.35">
      <c r="B149" s="106">
        <v>141</v>
      </c>
      <c r="C149" s="67" t="s">
        <v>186</v>
      </c>
      <c r="D149" s="57">
        <v>168.78299999999999</v>
      </c>
      <c r="E149" s="42"/>
      <c r="F149" s="270">
        <v>80.471999999999994</v>
      </c>
      <c r="G149" s="270">
        <v>38.963999999999999</v>
      </c>
      <c r="H149" s="278">
        <v>41.508000000000003</v>
      </c>
      <c r="I149" s="43">
        <f t="shared" si="4"/>
        <v>47.677787454897711</v>
      </c>
      <c r="J149" s="44">
        <f t="shared" si="5"/>
        <v>2.8678739651502604E-2</v>
      </c>
    </row>
    <row r="150" spans="2:10" ht="21.75" customHeight="1" x14ac:dyDescent="0.35">
      <c r="B150" s="21">
        <v>142</v>
      </c>
      <c r="C150" s="67" t="s">
        <v>187</v>
      </c>
      <c r="D150" s="57">
        <v>3989.1750000000002</v>
      </c>
      <c r="E150" s="42"/>
      <c r="F150" s="270">
        <v>79.367999999999995</v>
      </c>
      <c r="G150" s="270">
        <v>44.488999999999997</v>
      </c>
      <c r="H150" s="278">
        <v>34.878999999999998</v>
      </c>
      <c r="I150" s="43">
        <f t="shared" si="4"/>
        <v>1.9895843125458268</v>
      </c>
      <c r="J150" s="44">
        <f t="shared" si="5"/>
        <v>2.8285294371464098E-2</v>
      </c>
    </row>
    <row r="151" spans="2:10" ht="21.75" customHeight="1" x14ac:dyDescent="0.35">
      <c r="B151" s="106">
        <v>143</v>
      </c>
      <c r="C151" s="67" t="s">
        <v>188</v>
      </c>
      <c r="D151" s="57">
        <v>16718.971000000001</v>
      </c>
      <c r="E151" s="42"/>
      <c r="F151" s="270">
        <v>79.340999999999994</v>
      </c>
      <c r="G151" s="270">
        <v>36.610999999999997</v>
      </c>
      <c r="H151" s="278">
        <v>42.73</v>
      </c>
      <c r="I151" s="43">
        <f t="shared" si="4"/>
        <v>0.47455671763531371</v>
      </c>
      <c r="J151" s="44">
        <f t="shared" si="5"/>
        <v>2.8275672068419678E-2</v>
      </c>
    </row>
    <row r="152" spans="2:10" ht="21.75" customHeight="1" x14ac:dyDescent="0.35">
      <c r="B152" s="21">
        <v>144</v>
      </c>
      <c r="C152" s="67" t="s">
        <v>197</v>
      </c>
      <c r="D152" s="57">
        <v>1399.491</v>
      </c>
      <c r="E152" s="42"/>
      <c r="F152" s="270">
        <v>78.849000000000004</v>
      </c>
      <c r="G152" s="270">
        <v>39.67</v>
      </c>
      <c r="H152" s="278">
        <v>39.179000000000002</v>
      </c>
      <c r="I152" s="43">
        <f t="shared" si="4"/>
        <v>5.6341198335680618</v>
      </c>
      <c r="J152" s="44">
        <f t="shared" si="5"/>
        <v>2.8100332324054695E-2</v>
      </c>
    </row>
    <row r="153" spans="2:10" ht="21.75" customHeight="1" x14ac:dyDescent="0.35">
      <c r="B153" s="106">
        <v>145</v>
      </c>
      <c r="C153" s="67" t="s">
        <v>189</v>
      </c>
      <c r="D153" s="57">
        <v>97338.582999999999</v>
      </c>
      <c r="E153" s="42"/>
      <c r="F153" s="270">
        <v>76.766999999999996</v>
      </c>
      <c r="G153" s="270">
        <v>32.295999999999999</v>
      </c>
      <c r="H153" s="278">
        <v>44.470999999999997</v>
      </c>
      <c r="I153" s="43">
        <f t="shared" si="4"/>
        <v>7.8865951849740809E-2</v>
      </c>
      <c r="J153" s="44">
        <f t="shared" si="5"/>
        <v>2.7358345844851632E-2</v>
      </c>
    </row>
    <row r="154" spans="2:10" ht="21.75" customHeight="1" x14ac:dyDescent="0.35">
      <c r="B154" s="21">
        <v>146</v>
      </c>
      <c r="C154" s="67" t="s">
        <v>57</v>
      </c>
      <c r="D154" s="57">
        <v>54409.794000000002</v>
      </c>
      <c r="E154" s="42"/>
      <c r="F154" s="270">
        <v>76.445999999999998</v>
      </c>
      <c r="G154" s="270">
        <v>34.548000000000002</v>
      </c>
      <c r="H154" s="278">
        <v>41.898000000000003</v>
      </c>
      <c r="I154" s="43">
        <f t="shared" si="4"/>
        <v>0.14050044004945139</v>
      </c>
      <c r="J154" s="44">
        <f t="shared" si="5"/>
        <v>2.7243947353101303E-2</v>
      </c>
    </row>
    <row r="155" spans="2:10" ht="21.75" customHeight="1" x14ac:dyDescent="0.35">
      <c r="B155" s="106">
        <v>147</v>
      </c>
      <c r="C155" s="67" t="s">
        <v>191</v>
      </c>
      <c r="D155" s="57">
        <v>285.49099999999999</v>
      </c>
      <c r="E155" s="42"/>
      <c r="F155" s="270">
        <v>73.141000000000005</v>
      </c>
      <c r="G155" s="270">
        <v>34.856999999999999</v>
      </c>
      <c r="H155" s="278">
        <v>38.283999999999999</v>
      </c>
      <c r="I155" s="43">
        <f t="shared" si="4"/>
        <v>25.619371538857621</v>
      </c>
      <c r="J155" s="44">
        <f t="shared" si="5"/>
        <v>2.6066106184145447E-2</v>
      </c>
    </row>
    <row r="156" spans="2:10" ht="21.75" customHeight="1" x14ac:dyDescent="0.35">
      <c r="B156" s="21">
        <v>148</v>
      </c>
      <c r="C156" s="67" t="s">
        <v>192</v>
      </c>
      <c r="D156" s="57">
        <v>628.06200000000001</v>
      </c>
      <c r="E156" s="42"/>
      <c r="F156" s="270">
        <v>70.998999999999995</v>
      </c>
      <c r="G156" s="270">
        <v>43.003999999999998</v>
      </c>
      <c r="H156" s="278">
        <v>27.995000000000001</v>
      </c>
      <c r="I156" s="43">
        <f t="shared" si="4"/>
        <v>11.30445720326974</v>
      </c>
      <c r="J156" s="44">
        <f t="shared" si="5"/>
        <v>2.5302736809288118E-2</v>
      </c>
    </row>
    <row r="157" spans="2:10" ht="21.75" customHeight="1" x14ac:dyDescent="0.35">
      <c r="B157" s="106">
        <v>149</v>
      </c>
      <c r="C157" s="67" t="s">
        <v>193</v>
      </c>
      <c r="D157" s="57">
        <v>540.54200000000003</v>
      </c>
      <c r="E157" s="42"/>
      <c r="F157" s="270">
        <v>70.078999999999994</v>
      </c>
      <c r="G157" s="270">
        <v>8.6419999999999995</v>
      </c>
      <c r="H157" s="278">
        <v>61.436999999999998</v>
      </c>
      <c r="I157" s="43">
        <f t="shared" si="4"/>
        <v>12.96457999563401</v>
      </c>
      <c r="J157" s="44">
        <f t="shared" si="5"/>
        <v>2.497486574258936E-2</v>
      </c>
    </row>
    <row r="158" spans="2:10" ht="21.75" customHeight="1" x14ac:dyDescent="0.35">
      <c r="B158" s="21">
        <v>150</v>
      </c>
      <c r="C158" s="67" t="s">
        <v>195</v>
      </c>
      <c r="D158" s="57">
        <v>375.26499999999999</v>
      </c>
      <c r="E158" s="42"/>
      <c r="F158" s="270">
        <v>68.623999999999995</v>
      </c>
      <c r="G158" s="270">
        <v>39.424999999999997</v>
      </c>
      <c r="H158" s="278">
        <v>29.199000000000002</v>
      </c>
      <c r="I158" s="43">
        <f t="shared" si="4"/>
        <v>18.286810653804643</v>
      </c>
      <c r="J158" s="44">
        <f t="shared" si="5"/>
        <v>2.4456330522973389E-2</v>
      </c>
    </row>
    <row r="159" spans="2:10" ht="21.75" customHeight="1" x14ac:dyDescent="0.35">
      <c r="B159" s="106">
        <v>151</v>
      </c>
      <c r="C159" s="67" t="s">
        <v>201</v>
      </c>
      <c r="D159" s="57">
        <v>341.25</v>
      </c>
      <c r="E159" s="42"/>
      <c r="F159" s="270">
        <v>65.424000000000007</v>
      </c>
      <c r="G159" s="270">
        <v>29.707999999999998</v>
      </c>
      <c r="H159" s="278">
        <v>35.716000000000001</v>
      </c>
      <c r="I159" s="43">
        <f t="shared" si="4"/>
        <v>19.171868131868134</v>
      </c>
      <c r="J159" s="44">
        <f t="shared" si="5"/>
        <v>2.3315909421412501E-2</v>
      </c>
    </row>
    <row r="160" spans="2:10" ht="21.75" customHeight="1" x14ac:dyDescent="0.35">
      <c r="B160" s="21">
        <v>152</v>
      </c>
      <c r="C160" s="67" t="s">
        <v>194</v>
      </c>
      <c r="D160" s="57">
        <v>393.24799999999999</v>
      </c>
      <c r="E160" s="42"/>
      <c r="F160" s="270">
        <v>63.582999999999998</v>
      </c>
      <c r="G160" s="270">
        <v>31.422000000000001</v>
      </c>
      <c r="H160" s="278">
        <v>32.161000000000001</v>
      </c>
      <c r="I160" s="43">
        <f t="shared" si="4"/>
        <v>16.168677272357392</v>
      </c>
      <c r="J160" s="44">
        <f t="shared" si="5"/>
        <v>2.2659810906420746E-2</v>
      </c>
    </row>
    <row r="161" spans="2:10" ht="21.75" customHeight="1" x14ac:dyDescent="0.35">
      <c r="B161" s="106">
        <v>153</v>
      </c>
      <c r="C161" s="67" t="s">
        <v>196</v>
      </c>
      <c r="D161" s="57">
        <v>397.62099999999998</v>
      </c>
      <c r="E161" s="42"/>
      <c r="F161" s="270">
        <v>62.042999999999999</v>
      </c>
      <c r="G161" s="270">
        <v>30.832999999999998</v>
      </c>
      <c r="H161" s="278">
        <v>31.21</v>
      </c>
      <c r="I161" s="43">
        <f t="shared" si="4"/>
        <v>15.603552126270998</v>
      </c>
      <c r="J161" s="44">
        <f t="shared" si="5"/>
        <v>2.2110983251294566E-2</v>
      </c>
    </row>
    <row r="162" spans="2:10" ht="21.75" customHeight="1" x14ac:dyDescent="0.35">
      <c r="B162" s="21">
        <v>154</v>
      </c>
      <c r="C162" s="67" t="s">
        <v>330</v>
      </c>
      <c r="D162" s="57">
        <v>11818.618</v>
      </c>
      <c r="E162" s="42"/>
      <c r="F162" s="270">
        <v>60.145000000000003</v>
      </c>
      <c r="G162" s="270">
        <v>28.670999999999999</v>
      </c>
      <c r="H162" s="278">
        <v>31.474</v>
      </c>
      <c r="I162" s="43">
        <f t="shared" si="4"/>
        <v>0.50890044842806492</v>
      </c>
      <c r="J162" s="44">
        <f t="shared" si="5"/>
        <v>2.1434570985431261E-2</v>
      </c>
    </row>
    <row r="163" spans="2:10" ht="21.75" customHeight="1" x14ac:dyDescent="0.35">
      <c r="B163" s="106">
        <v>155</v>
      </c>
      <c r="C163" s="67" t="s">
        <v>202</v>
      </c>
      <c r="D163" s="57">
        <v>15893.218999999999</v>
      </c>
      <c r="E163" s="42"/>
      <c r="F163" s="270">
        <v>58.59</v>
      </c>
      <c r="G163" s="270">
        <v>26.305</v>
      </c>
      <c r="H163" s="278">
        <v>32.284999999999997</v>
      </c>
      <c r="I163" s="43">
        <f t="shared" si="4"/>
        <v>0.3686477862036634</v>
      </c>
      <c r="J163" s="44">
        <f t="shared" si="5"/>
        <v>2.0880397606391512E-2</v>
      </c>
    </row>
    <row r="164" spans="2:10" ht="21.75" customHeight="1" x14ac:dyDescent="0.35">
      <c r="B164" s="21">
        <v>156</v>
      </c>
      <c r="C164" s="67" t="s">
        <v>209</v>
      </c>
      <c r="D164" s="57">
        <v>164.1</v>
      </c>
      <c r="E164" s="42"/>
      <c r="F164" s="270">
        <v>57.21</v>
      </c>
      <c r="G164" s="270">
        <v>32.252000000000002</v>
      </c>
      <c r="H164" s="278">
        <v>24.957999999999998</v>
      </c>
      <c r="I164" s="43">
        <f t="shared" si="4"/>
        <v>34.862888482632542</v>
      </c>
      <c r="J164" s="44">
        <f t="shared" si="5"/>
        <v>2.0388591006343378E-2</v>
      </c>
    </row>
    <row r="165" spans="2:10" ht="21.75" customHeight="1" x14ac:dyDescent="0.35">
      <c r="B165" s="106">
        <v>157</v>
      </c>
      <c r="C165" s="67" t="s">
        <v>198</v>
      </c>
      <c r="D165" s="57">
        <v>104.423</v>
      </c>
      <c r="E165" s="42"/>
      <c r="F165" s="270">
        <v>56.753</v>
      </c>
      <c r="G165" s="270">
        <v>30.009</v>
      </c>
      <c r="H165" s="278">
        <v>26.744</v>
      </c>
      <c r="I165" s="43">
        <f t="shared" si="4"/>
        <v>54.349137642090341</v>
      </c>
      <c r="J165" s="44">
        <f t="shared" si="5"/>
        <v>2.0225724617776712E-2</v>
      </c>
    </row>
    <row r="166" spans="2:10" ht="21.75" customHeight="1" x14ac:dyDescent="0.35">
      <c r="B166" s="21">
        <v>158</v>
      </c>
      <c r="C166" s="67" t="s">
        <v>199</v>
      </c>
      <c r="D166" s="57">
        <v>7976.9849999999997</v>
      </c>
      <c r="E166" s="42"/>
      <c r="F166" s="270">
        <v>53.746000000000002</v>
      </c>
      <c r="G166" s="270">
        <v>23.338000000000001</v>
      </c>
      <c r="H166" s="278">
        <v>30.408000000000001</v>
      </c>
      <c r="I166" s="43">
        <f t="shared" si="4"/>
        <v>0.67376333288830303</v>
      </c>
      <c r="J166" s="44">
        <f t="shared" si="5"/>
        <v>1.9154085163903711E-2</v>
      </c>
    </row>
    <row r="167" spans="2:10" ht="21.75" customHeight="1" x14ac:dyDescent="0.35">
      <c r="B167" s="106">
        <v>159</v>
      </c>
      <c r="C167" s="67" t="s">
        <v>200</v>
      </c>
      <c r="D167" s="57">
        <v>771.61199999999997</v>
      </c>
      <c r="E167" s="42"/>
      <c r="F167" s="270">
        <v>53.612000000000002</v>
      </c>
      <c r="G167" s="270">
        <v>8.0879999999999992</v>
      </c>
      <c r="H167" s="278">
        <v>45.524000000000001</v>
      </c>
      <c r="I167" s="43">
        <f t="shared" si="4"/>
        <v>6.9480516114316524</v>
      </c>
      <c r="J167" s="44">
        <f t="shared" si="5"/>
        <v>1.9106330030275846E-2</v>
      </c>
    </row>
    <row r="168" spans="2:10" ht="21.75" customHeight="1" x14ac:dyDescent="0.35">
      <c r="B168" s="21">
        <v>160</v>
      </c>
      <c r="C168" s="67" t="s">
        <v>212</v>
      </c>
      <c r="D168" s="57">
        <v>106.76600000000001</v>
      </c>
      <c r="E168" s="42"/>
      <c r="F168" s="270">
        <v>53.593000000000004</v>
      </c>
      <c r="G168" s="270">
        <v>29.286000000000001</v>
      </c>
      <c r="H168" s="278">
        <v>24.306999999999999</v>
      </c>
      <c r="I168" s="43">
        <f t="shared" si="4"/>
        <v>50.196691830732632</v>
      </c>
      <c r="J168" s="44">
        <f t="shared" si="5"/>
        <v>1.9099558779985329E-2</v>
      </c>
    </row>
    <row r="169" spans="2:10" ht="21.75" customHeight="1" x14ac:dyDescent="0.35">
      <c r="B169" s="106">
        <v>161</v>
      </c>
      <c r="C169" s="67" t="s">
        <v>276</v>
      </c>
      <c r="D169" s="57">
        <v>25778.814999999999</v>
      </c>
      <c r="E169" s="42"/>
      <c r="F169" s="270">
        <v>49.548999999999999</v>
      </c>
      <c r="G169" s="270">
        <v>24.895</v>
      </c>
      <c r="H169" s="278">
        <v>24.654</v>
      </c>
      <c r="I169" s="43">
        <f t="shared" si="4"/>
        <v>0.19220821438068431</v>
      </c>
      <c r="J169" s="44">
        <f t="shared" si="5"/>
        <v>1.7658351612887747E-2</v>
      </c>
    </row>
    <row r="170" spans="2:10" ht="21.75" customHeight="1" x14ac:dyDescent="0.35">
      <c r="B170" s="21">
        <v>162</v>
      </c>
      <c r="C170" s="67" t="s">
        <v>203</v>
      </c>
      <c r="D170" s="57">
        <v>2877.8</v>
      </c>
      <c r="E170" s="42"/>
      <c r="F170" s="270">
        <v>48.81</v>
      </c>
      <c r="G170" s="270">
        <v>23.902000000000001</v>
      </c>
      <c r="H170" s="278">
        <v>24.908000000000001</v>
      </c>
      <c r="I170" s="43">
        <f t="shared" si="4"/>
        <v>1.6960872889012439</v>
      </c>
      <c r="J170" s="44">
        <f t="shared" si="5"/>
        <v>1.7394985614746027E-2</v>
      </c>
    </row>
    <row r="171" spans="2:10" ht="21.75" customHeight="1" x14ac:dyDescent="0.35">
      <c r="B171" s="106">
        <v>163</v>
      </c>
      <c r="C171" s="67" t="s">
        <v>204</v>
      </c>
      <c r="D171" s="57">
        <v>7275.5559999999996</v>
      </c>
      <c r="E171" s="42"/>
      <c r="F171" s="270">
        <v>48.731000000000002</v>
      </c>
      <c r="G171" s="270">
        <v>17.338000000000001</v>
      </c>
      <c r="H171" s="278">
        <v>31.393000000000001</v>
      </c>
      <c r="I171" s="43">
        <f t="shared" si="4"/>
        <v>0.66979073489366314</v>
      </c>
      <c r="J171" s="44">
        <f t="shared" si="5"/>
        <v>1.7366831468801244E-2</v>
      </c>
    </row>
    <row r="172" spans="2:10" ht="21.75" customHeight="1" x14ac:dyDescent="0.35">
      <c r="B172" s="21">
        <v>164</v>
      </c>
      <c r="C172" s="67" t="s">
        <v>205</v>
      </c>
      <c r="D172" s="57">
        <v>586.63400000000001</v>
      </c>
      <c r="E172" s="42"/>
      <c r="F172" s="270">
        <v>47.801000000000002</v>
      </c>
      <c r="G172" s="270">
        <v>21.53</v>
      </c>
      <c r="H172" s="278">
        <v>26.271000000000001</v>
      </c>
      <c r="I172" s="43">
        <f t="shared" si="4"/>
        <v>8.1483514422962191</v>
      </c>
      <c r="J172" s="44">
        <f t="shared" si="5"/>
        <v>1.7035396586160108E-2</v>
      </c>
    </row>
    <row r="173" spans="2:10" ht="21.75" customHeight="1" x14ac:dyDescent="0.35">
      <c r="B173" s="106">
        <v>165</v>
      </c>
      <c r="C173" s="67" t="s">
        <v>206</v>
      </c>
      <c r="D173" s="57">
        <v>77.265000000000001</v>
      </c>
      <c r="E173" s="42"/>
      <c r="F173" s="270">
        <v>45.573999999999998</v>
      </c>
      <c r="G173" s="270">
        <v>22.241</v>
      </c>
      <c r="H173" s="278">
        <v>23.332999999999998</v>
      </c>
      <c r="I173" s="43">
        <f t="shared" si="4"/>
        <v>58.98401604866369</v>
      </c>
      <c r="J173" s="44">
        <f t="shared" si="5"/>
        <v>1.624173477579257E-2</v>
      </c>
    </row>
    <row r="174" spans="2:10" ht="21.75" customHeight="1" x14ac:dyDescent="0.35">
      <c r="B174" s="21">
        <v>166</v>
      </c>
      <c r="C174" s="67" t="s">
        <v>277</v>
      </c>
      <c r="D174" s="57">
        <v>85.031999999999996</v>
      </c>
      <c r="E174" s="42"/>
      <c r="F174" s="270">
        <v>43.04</v>
      </c>
      <c r="G174" s="270">
        <v>22.053000000000001</v>
      </c>
      <c r="H174" s="278">
        <v>20.986999999999998</v>
      </c>
      <c r="I174" s="43">
        <f t="shared" si="4"/>
        <v>50.616238592529875</v>
      </c>
      <c r="J174" s="44">
        <f t="shared" si="5"/>
        <v>1.5338663815994037E-2</v>
      </c>
    </row>
    <row r="175" spans="2:10" ht="21.75" customHeight="1" x14ac:dyDescent="0.35">
      <c r="B175" s="106">
        <v>167</v>
      </c>
      <c r="C175" s="67" t="s">
        <v>207</v>
      </c>
      <c r="D175" s="57">
        <v>6486.201</v>
      </c>
      <c r="E175" s="42"/>
      <c r="F175" s="270">
        <v>42.767000000000003</v>
      </c>
      <c r="G175" s="270">
        <v>22.422999999999998</v>
      </c>
      <c r="H175" s="278">
        <v>20.344000000000001</v>
      </c>
      <c r="I175" s="43">
        <f t="shared" si="4"/>
        <v>0.65935360313379132</v>
      </c>
      <c r="J175" s="44">
        <f t="shared" si="5"/>
        <v>1.5241371640767125E-2</v>
      </c>
    </row>
    <row r="176" spans="2:10" ht="21.75" customHeight="1" x14ac:dyDescent="0.35">
      <c r="B176" s="21">
        <v>168</v>
      </c>
      <c r="C176" s="67" t="s">
        <v>208</v>
      </c>
      <c r="D176" s="57">
        <v>6624.5540000000001</v>
      </c>
      <c r="E176" s="42"/>
      <c r="F176" s="270">
        <v>42.167000000000002</v>
      </c>
      <c r="G176" s="270">
        <v>20.484000000000002</v>
      </c>
      <c r="H176" s="278">
        <v>21.683</v>
      </c>
      <c r="I176" s="43">
        <f t="shared" si="4"/>
        <v>0.63652587026990803</v>
      </c>
      <c r="J176" s="44">
        <f t="shared" si="5"/>
        <v>1.5027542684224458E-2</v>
      </c>
    </row>
    <row r="177" spans="2:10" ht="21.75" customHeight="1" x14ac:dyDescent="0.35">
      <c r="B177" s="106">
        <v>169</v>
      </c>
      <c r="C177" s="67" t="s">
        <v>210</v>
      </c>
      <c r="D177" s="57">
        <v>21413.25</v>
      </c>
      <c r="E177" s="42"/>
      <c r="F177" s="270">
        <v>40.253999999999998</v>
      </c>
      <c r="G177" s="270">
        <v>19.058</v>
      </c>
      <c r="H177" s="278">
        <v>21.196000000000002</v>
      </c>
      <c r="I177" s="43">
        <f t="shared" si="4"/>
        <v>0.18798641028335258</v>
      </c>
      <c r="J177" s="44">
        <f t="shared" si="5"/>
        <v>1.4345784694447583E-2</v>
      </c>
    </row>
    <row r="178" spans="2:10" ht="21.75" customHeight="1" x14ac:dyDescent="0.35">
      <c r="B178" s="21">
        <v>170</v>
      </c>
      <c r="C178" s="67" t="s">
        <v>211</v>
      </c>
      <c r="D178" s="57">
        <v>9904.6080000000002</v>
      </c>
      <c r="E178" s="42"/>
      <c r="F178" s="270">
        <v>39.195</v>
      </c>
      <c r="G178" s="270">
        <v>18.62</v>
      </c>
      <c r="H178" s="278">
        <v>20.574999999999999</v>
      </c>
      <c r="I178" s="43">
        <f t="shared" si="4"/>
        <v>0.39572489895612223</v>
      </c>
      <c r="J178" s="44">
        <f t="shared" si="5"/>
        <v>1.3968376586149777E-2</v>
      </c>
    </row>
    <row r="179" spans="2:10" ht="21.75" customHeight="1" x14ac:dyDescent="0.35">
      <c r="B179" s="106">
        <v>171</v>
      </c>
      <c r="C179" s="67" t="s">
        <v>213</v>
      </c>
      <c r="D179" s="57">
        <v>3280.8150000000001</v>
      </c>
      <c r="E179" s="42"/>
      <c r="F179" s="270">
        <v>36.042000000000002</v>
      </c>
      <c r="G179" s="270">
        <v>19.161999999999999</v>
      </c>
      <c r="H179" s="278">
        <v>16.88</v>
      </c>
      <c r="I179" s="43">
        <f t="shared" si="4"/>
        <v>1.0985684959377473</v>
      </c>
      <c r="J179" s="44">
        <f t="shared" si="5"/>
        <v>1.2844705419518055E-2</v>
      </c>
    </row>
    <row r="180" spans="2:10" ht="21.75" customHeight="1" x14ac:dyDescent="0.35">
      <c r="B180" s="21">
        <v>172</v>
      </c>
      <c r="C180" s="67" t="s">
        <v>214</v>
      </c>
      <c r="D180" s="57">
        <v>27691.019</v>
      </c>
      <c r="E180" s="42"/>
      <c r="F180" s="270">
        <v>35.563000000000002</v>
      </c>
      <c r="G180" s="270">
        <v>15.301</v>
      </c>
      <c r="H180" s="278">
        <v>20.262</v>
      </c>
      <c r="I180" s="43">
        <f t="shared" si="4"/>
        <v>0.12842792098044495</v>
      </c>
      <c r="J180" s="44">
        <f t="shared" si="5"/>
        <v>1.2673998635878161E-2</v>
      </c>
    </row>
    <row r="181" spans="2:10" ht="21.75" customHeight="1" x14ac:dyDescent="0.35">
      <c r="B181" s="106">
        <v>173</v>
      </c>
      <c r="C181" s="67" t="s">
        <v>215</v>
      </c>
      <c r="D181" s="57">
        <v>287.37099999999998</v>
      </c>
      <c r="E181" s="42"/>
      <c r="F181" s="270">
        <v>34.869</v>
      </c>
      <c r="G181" s="270">
        <v>19.201000000000001</v>
      </c>
      <c r="H181" s="278">
        <v>15.667999999999999</v>
      </c>
      <c r="I181" s="43">
        <f t="shared" si="4"/>
        <v>12.133792205894125</v>
      </c>
      <c r="J181" s="44">
        <f t="shared" si="5"/>
        <v>1.2426669809477141E-2</v>
      </c>
    </row>
    <row r="182" spans="2:10" ht="21.75" customHeight="1" x14ac:dyDescent="0.35">
      <c r="B182" s="21">
        <v>174</v>
      </c>
      <c r="C182" s="67" t="s">
        <v>216</v>
      </c>
      <c r="D182" s="57">
        <v>1160.164</v>
      </c>
      <c r="E182" s="42"/>
      <c r="F182" s="270">
        <v>32.857999999999997</v>
      </c>
      <c r="G182" s="270">
        <v>15.936999999999999</v>
      </c>
      <c r="H182" s="278">
        <v>16.920999999999999</v>
      </c>
      <c r="I182" s="43">
        <f t="shared" si="4"/>
        <v>2.8321857944221676</v>
      </c>
      <c r="J182" s="44">
        <f t="shared" si="5"/>
        <v>1.1709986423464965E-2</v>
      </c>
    </row>
    <row r="183" spans="2:10" ht="21.75" customHeight="1" x14ac:dyDescent="0.35">
      <c r="B183" s="106">
        <v>175</v>
      </c>
      <c r="C183" s="67" t="s">
        <v>233</v>
      </c>
      <c r="D183" s="57">
        <v>786.55899999999997</v>
      </c>
      <c r="E183" s="42"/>
      <c r="F183" s="270">
        <v>31.169</v>
      </c>
      <c r="G183" s="270">
        <v>16.672000000000001</v>
      </c>
      <c r="H183" s="278">
        <v>14.497</v>
      </c>
      <c r="I183" s="43">
        <f t="shared" si="4"/>
        <v>3.9627033699951313</v>
      </c>
      <c r="J183" s="44">
        <f t="shared" si="5"/>
        <v>1.1108057910797355E-2</v>
      </c>
    </row>
    <row r="184" spans="2:10" ht="21.75" customHeight="1" x14ac:dyDescent="0.35">
      <c r="B184" s="21">
        <v>176</v>
      </c>
      <c r="C184" s="67" t="s">
        <v>217</v>
      </c>
      <c r="D184" s="57">
        <v>8947.027</v>
      </c>
      <c r="E184" s="42"/>
      <c r="F184" s="270">
        <v>31.068000000000001</v>
      </c>
      <c r="G184" s="270">
        <v>12.173</v>
      </c>
      <c r="H184" s="278">
        <v>18.895</v>
      </c>
      <c r="I184" s="43">
        <f t="shared" si="4"/>
        <v>0.34724383865165492</v>
      </c>
      <c r="J184" s="44">
        <f t="shared" si="5"/>
        <v>1.1072063369779341E-2</v>
      </c>
    </row>
    <row r="185" spans="2:10" ht="21.75" customHeight="1" x14ac:dyDescent="0.35">
      <c r="B185" s="106">
        <v>177</v>
      </c>
      <c r="C185" s="67" t="s">
        <v>323</v>
      </c>
      <c r="D185" s="57">
        <v>280.904</v>
      </c>
      <c r="E185" s="42"/>
      <c r="F185" s="270">
        <v>30.081</v>
      </c>
      <c r="G185" s="270">
        <v>12.930999999999999</v>
      </c>
      <c r="H185" s="278">
        <v>17.149999999999999</v>
      </c>
      <c r="I185" s="43">
        <f t="shared" si="4"/>
        <v>10.708640674394099</v>
      </c>
      <c r="J185" s="44">
        <f t="shared" si="5"/>
        <v>1.0720314736266652E-2</v>
      </c>
    </row>
    <row r="186" spans="2:10" ht="21.75" customHeight="1" x14ac:dyDescent="0.35">
      <c r="B186" s="21">
        <v>178</v>
      </c>
      <c r="C186" s="67" t="s">
        <v>218</v>
      </c>
      <c r="D186" s="57">
        <v>97.927999999999997</v>
      </c>
      <c r="E186" s="42"/>
      <c r="F186" s="270">
        <v>29.385999999999999</v>
      </c>
      <c r="G186" s="270">
        <v>16.265999999999998</v>
      </c>
      <c r="H186" s="278">
        <v>13.12</v>
      </c>
      <c r="I186" s="43">
        <f t="shared" si="4"/>
        <v>30.007760803855891</v>
      </c>
      <c r="J186" s="44">
        <f t="shared" si="5"/>
        <v>1.0472629528271394E-2</v>
      </c>
    </row>
    <row r="187" spans="2:10" ht="21.75" customHeight="1" x14ac:dyDescent="0.35">
      <c r="B187" s="106">
        <v>179</v>
      </c>
      <c r="C187" s="67" t="s">
        <v>219</v>
      </c>
      <c r="D187" s="57">
        <v>65.72</v>
      </c>
      <c r="E187" s="42"/>
      <c r="F187" s="270">
        <v>29.242000000000001</v>
      </c>
      <c r="G187" s="270">
        <v>14.225</v>
      </c>
      <c r="H187" s="278">
        <v>15.016999999999999</v>
      </c>
      <c r="I187" s="43">
        <f t="shared" si="4"/>
        <v>44.494826536822885</v>
      </c>
      <c r="J187" s="44">
        <f t="shared" si="5"/>
        <v>1.0421310578701154E-2</v>
      </c>
    </row>
    <row r="188" spans="2:10" ht="21.75" customHeight="1" x14ac:dyDescent="0.35">
      <c r="B188" s="21">
        <v>180</v>
      </c>
      <c r="C188" s="67" t="s">
        <v>220</v>
      </c>
      <c r="D188" s="57">
        <v>1271.7670000000001</v>
      </c>
      <c r="E188" s="42"/>
      <c r="F188" s="270">
        <v>28.893000000000001</v>
      </c>
      <c r="G188" s="270">
        <v>12.89</v>
      </c>
      <c r="H188" s="278">
        <v>16.003</v>
      </c>
      <c r="I188" s="43">
        <f t="shared" si="4"/>
        <v>2.2718784179806519</v>
      </c>
      <c r="J188" s="44">
        <f t="shared" si="5"/>
        <v>1.0296933402312169E-2</v>
      </c>
    </row>
    <row r="189" spans="2:10" ht="21.75" customHeight="1" x14ac:dyDescent="0.35">
      <c r="B189" s="106">
        <v>181</v>
      </c>
      <c r="C189" s="67" t="s">
        <v>278</v>
      </c>
      <c r="D189" s="57">
        <v>42.881999999999998</v>
      </c>
      <c r="E189" s="42"/>
      <c r="F189" s="270">
        <v>28.844999999999999</v>
      </c>
      <c r="G189" s="270">
        <v>15.023</v>
      </c>
      <c r="H189" s="278">
        <v>13.821999999999999</v>
      </c>
      <c r="I189" s="43">
        <f t="shared" si="4"/>
        <v>67.265985728277599</v>
      </c>
      <c r="J189" s="44">
        <f t="shared" si="5"/>
        <v>1.0279827085788755E-2</v>
      </c>
    </row>
    <row r="190" spans="2:10" ht="21.75" customHeight="1" x14ac:dyDescent="0.35">
      <c r="B190" s="21">
        <v>182</v>
      </c>
      <c r="C190" s="67" t="s">
        <v>222</v>
      </c>
      <c r="D190" s="57">
        <v>39.244</v>
      </c>
      <c r="E190" s="42"/>
      <c r="F190" s="270">
        <v>26.600999999999999</v>
      </c>
      <c r="G190" s="270">
        <v>13.704000000000001</v>
      </c>
      <c r="H190" s="278">
        <v>12.897</v>
      </c>
      <c r="I190" s="43">
        <f t="shared" si="4"/>
        <v>67.78361023341148</v>
      </c>
      <c r="J190" s="44">
        <f t="shared" si="5"/>
        <v>9.4801067883191776E-3</v>
      </c>
    </row>
    <row r="191" spans="2:10" ht="21.75" customHeight="1" x14ac:dyDescent="0.35">
      <c r="B191" s="106">
        <v>183</v>
      </c>
      <c r="C191" s="67" t="s">
        <v>235</v>
      </c>
      <c r="D191" s="57">
        <v>26.221</v>
      </c>
      <c r="E191" s="42"/>
      <c r="F191" s="270">
        <v>26.221</v>
      </c>
      <c r="G191" s="285">
        <v>0</v>
      </c>
      <c r="H191" s="285">
        <v>0</v>
      </c>
      <c r="I191" s="43">
        <f t="shared" si="4"/>
        <v>100</v>
      </c>
      <c r="J191" s="44">
        <f t="shared" si="5"/>
        <v>9.3446817825088204E-3</v>
      </c>
    </row>
    <row r="192" spans="2:10" ht="21.75" customHeight="1" x14ac:dyDescent="0.35">
      <c r="B192" s="21">
        <v>184</v>
      </c>
      <c r="C192" s="67" t="s">
        <v>223</v>
      </c>
      <c r="D192" s="57">
        <v>38.137</v>
      </c>
      <c r="E192" s="42"/>
      <c r="F192" s="270">
        <v>25.876999999999999</v>
      </c>
      <c r="G192" s="270">
        <v>13.257999999999999</v>
      </c>
      <c r="H192" s="278">
        <v>12.619</v>
      </c>
      <c r="I192" s="43">
        <f t="shared" si="4"/>
        <v>67.852741432204937</v>
      </c>
      <c r="J192" s="44">
        <f t="shared" si="5"/>
        <v>9.2220865140910258E-3</v>
      </c>
    </row>
    <row r="193" spans="2:10" ht="21.75" customHeight="1" x14ac:dyDescent="0.35">
      <c r="B193" s="106">
        <v>185</v>
      </c>
      <c r="C193" s="67" t="s">
        <v>224</v>
      </c>
      <c r="D193" s="57">
        <v>38.718000000000004</v>
      </c>
      <c r="E193" s="42"/>
      <c r="F193" s="270">
        <v>25.748000000000001</v>
      </c>
      <c r="G193" s="270">
        <v>12.423</v>
      </c>
      <c r="H193" s="278">
        <v>13.324999999999999</v>
      </c>
      <c r="I193" s="43">
        <f t="shared" si="4"/>
        <v>66.501368872359095</v>
      </c>
      <c r="J193" s="44">
        <f t="shared" si="5"/>
        <v>9.1761132884343524E-3</v>
      </c>
    </row>
    <row r="194" spans="2:10" ht="21.75" customHeight="1" x14ac:dyDescent="0.35">
      <c r="B194" s="21">
        <v>186</v>
      </c>
      <c r="C194" s="67" t="s">
        <v>226</v>
      </c>
      <c r="D194" s="57">
        <v>2961.1610000000001</v>
      </c>
      <c r="E194" s="42"/>
      <c r="F194" s="270">
        <v>23.629000000000001</v>
      </c>
      <c r="G194" s="270">
        <v>11.621</v>
      </c>
      <c r="H194" s="278">
        <v>12.007999999999999</v>
      </c>
      <c r="I194" s="43">
        <f t="shared" si="4"/>
        <v>0.79796404180657521</v>
      </c>
      <c r="J194" s="44">
        <f t="shared" si="5"/>
        <v>8.420940690244497E-3</v>
      </c>
    </row>
    <row r="195" spans="2:10" ht="21.75" customHeight="1" x14ac:dyDescent="0.35">
      <c r="B195" s="106">
        <v>187</v>
      </c>
      <c r="C195" s="67" t="s">
        <v>225</v>
      </c>
      <c r="D195" s="57">
        <v>55.197000000000003</v>
      </c>
      <c r="E195" s="42"/>
      <c r="F195" s="270">
        <v>23.608000000000001</v>
      </c>
      <c r="G195" s="270">
        <v>11.561</v>
      </c>
      <c r="H195" s="278">
        <v>12.047000000000001</v>
      </c>
      <c r="I195" s="43">
        <f t="shared" si="4"/>
        <v>42.770440422486729</v>
      </c>
      <c r="J195" s="44">
        <f t="shared" si="5"/>
        <v>8.4134566767655027E-3</v>
      </c>
    </row>
    <row r="196" spans="2:10" ht="21.75" customHeight="1" x14ac:dyDescent="0.35">
      <c r="B196" s="21">
        <v>188</v>
      </c>
      <c r="C196" s="67" t="s">
        <v>229</v>
      </c>
      <c r="D196" s="57">
        <v>30.236999999999998</v>
      </c>
      <c r="E196" s="42"/>
      <c r="F196" s="270">
        <v>22.164000000000001</v>
      </c>
      <c r="G196" s="270">
        <v>11.483000000000001</v>
      </c>
      <c r="H196" s="278">
        <v>10.680999999999999</v>
      </c>
      <c r="I196" s="43">
        <f t="shared" si="4"/>
        <v>73.300922710586377</v>
      </c>
      <c r="J196" s="44">
        <f t="shared" si="5"/>
        <v>7.8988416546861492E-3</v>
      </c>
    </row>
    <row r="197" spans="2:10" ht="21.75" customHeight="1" x14ac:dyDescent="0.35">
      <c r="B197" s="106">
        <v>189</v>
      </c>
      <c r="C197" s="67" t="s">
        <v>227</v>
      </c>
      <c r="D197" s="57">
        <v>57.557000000000002</v>
      </c>
      <c r="E197" s="42"/>
      <c r="F197" s="270">
        <v>21.843</v>
      </c>
      <c r="G197" s="270">
        <v>12.66</v>
      </c>
      <c r="H197" s="278">
        <v>9.1829999999999998</v>
      </c>
      <c r="I197" s="43">
        <f t="shared" si="4"/>
        <v>37.950205882863941</v>
      </c>
      <c r="J197" s="44">
        <f t="shared" si="5"/>
        <v>7.7844431629358214E-3</v>
      </c>
    </row>
    <row r="198" spans="2:10" ht="21.75" customHeight="1" x14ac:dyDescent="0.35">
      <c r="B198" s="21">
        <v>190</v>
      </c>
      <c r="C198" s="67" t="s">
        <v>228</v>
      </c>
      <c r="D198" s="57">
        <v>3278.2919999999999</v>
      </c>
      <c r="E198" s="42"/>
      <c r="F198" s="270">
        <v>21.344999999999999</v>
      </c>
      <c r="G198" s="270">
        <v>7.0819999999999999</v>
      </c>
      <c r="H198" s="278">
        <v>14.263</v>
      </c>
      <c r="I198" s="43">
        <f t="shared" si="4"/>
        <v>0.65110124418447157</v>
      </c>
      <c r="J198" s="44">
        <f t="shared" si="5"/>
        <v>7.6069651290054064E-3</v>
      </c>
    </row>
    <row r="199" spans="2:10" ht="21.75" customHeight="1" x14ac:dyDescent="0.35">
      <c r="B199" s="106">
        <v>191</v>
      </c>
      <c r="C199" s="67" t="s">
        <v>230</v>
      </c>
      <c r="D199" s="57">
        <v>62.273000000000003</v>
      </c>
      <c r="E199" s="42"/>
      <c r="F199" s="270">
        <v>19.739000000000001</v>
      </c>
      <c r="G199" s="270">
        <v>10.015000000000001</v>
      </c>
      <c r="H199" s="278">
        <v>9.7240000000000002</v>
      </c>
      <c r="I199" s="43">
        <f t="shared" si="4"/>
        <v>31.697525412297463</v>
      </c>
      <c r="J199" s="44">
        <f t="shared" si="5"/>
        <v>7.0346162886595334E-3</v>
      </c>
    </row>
    <row r="200" spans="2:10" ht="21.75" customHeight="1" x14ac:dyDescent="0.35">
      <c r="B200" s="21">
        <v>192</v>
      </c>
      <c r="C200" s="67" t="s">
        <v>231</v>
      </c>
      <c r="D200" s="57">
        <v>11402.532999999999</v>
      </c>
      <c r="E200" s="42"/>
      <c r="F200" s="270">
        <v>18.884</v>
      </c>
      <c r="G200" s="270">
        <v>8.3849999999999998</v>
      </c>
      <c r="H200" s="278">
        <v>10.499000000000001</v>
      </c>
      <c r="I200" s="43">
        <f t="shared" ref="I200:I243" si="6">(F200/D200)*100</f>
        <v>0.16561232491061417</v>
      </c>
      <c r="J200" s="44">
        <f t="shared" si="5"/>
        <v>6.7299100255862323E-3</v>
      </c>
    </row>
    <row r="201" spans="2:10" ht="21.75" customHeight="1" x14ac:dyDescent="0.35">
      <c r="B201" s="106">
        <v>193</v>
      </c>
      <c r="C201" s="67" t="s">
        <v>221</v>
      </c>
      <c r="D201" s="57">
        <v>1967.998</v>
      </c>
      <c r="E201" s="42"/>
      <c r="F201" s="270">
        <v>17.945</v>
      </c>
      <c r="G201" s="270">
        <v>9.0779999999999994</v>
      </c>
      <c r="H201" s="278">
        <v>8.8670000000000009</v>
      </c>
      <c r="I201" s="43">
        <f t="shared" si="6"/>
        <v>0.91184035756133897</v>
      </c>
      <c r="J201" s="44">
        <f t="shared" ref="J201:J243" si="7">(F201/$F$8)*100</f>
        <v>6.3952677085969568E-3</v>
      </c>
    </row>
    <row r="202" spans="2:10" ht="21.75" customHeight="1" x14ac:dyDescent="0.35">
      <c r="B202" s="21">
        <v>194</v>
      </c>
      <c r="C202" s="67" t="s">
        <v>234</v>
      </c>
      <c r="D202" s="57">
        <v>555.98800000000006</v>
      </c>
      <c r="E202" s="42"/>
      <c r="F202" s="270">
        <v>15.788</v>
      </c>
      <c r="G202" s="270">
        <v>7.8029999999999999</v>
      </c>
      <c r="H202" s="278">
        <v>7.9850000000000003</v>
      </c>
      <c r="I202" s="43">
        <f t="shared" si="6"/>
        <v>2.8396296322942218</v>
      </c>
      <c r="J202" s="44">
        <f t="shared" si="7"/>
        <v>5.6265526098260655E-3</v>
      </c>
    </row>
    <row r="203" spans="2:10" ht="21.75" customHeight="1" x14ac:dyDescent="0.35">
      <c r="B203" s="106">
        <v>195</v>
      </c>
      <c r="C203" s="67" t="s">
        <v>236</v>
      </c>
      <c r="D203" s="57">
        <v>896.44399999999996</v>
      </c>
      <c r="E203" s="42"/>
      <c r="F203" s="270">
        <v>14.087</v>
      </c>
      <c r="G203" s="270">
        <v>6.4859999999999998</v>
      </c>
      <c r="H203" s="278">
        <v>7.601</v>
      </c>
      <c r="I203" s="43">
        <f t="shared" si="6"/>
        <v>1.5714311211854841</v>
      </c>
      <c r="J203" s="44">
        <f t="shared" si="7"/>
        <v>5.0203475180276031E-3</v>
      </c>
    </row>
    <row r="204" spans="2:10" ht="21.75" customHeight="1" x14ac:dyDescent="0.35">
      <c r="B204" s="21">
        <v>196</v>
      </c>
      <c r="C204" s="67" t="s">
        <v>232</v>
      </c>
      <c r="D204" s="57">
        <v>3546.4270000000001</v>
      </c>
      <c r="E204" s="42"/>
      <c r="F204" s="270">
        <v>13.933999999999999</v>
      </c>
      <c r="G204" s="270">
        <v>6.1189999999999998</v>
      </c>
      <c r="H204" s="278">
        <v>7.8150000000000004</v>
      </c>
      <c r="I204" s="43">
        <f t="shared" si="6"/>
        <v>0.39290249030926055</v>
      </c>
      <c r="J204" s="44">
        <f t="shared" si="7"/>
        <v>4.9658211341092225E-3</v>
      </c>
    </row>
    <row r="205" spans="2:10" ht="21.75" customHeight="1" x14ac:dyDescent="0.35">
      <c r="B205" s="106">
        <v>197</v>
      </c>
      <c r="C205" s="67" t="s">
        <v>237</v>
      </c>
      <c r="D205" s="57">
        <v>98.34</v>
      </c>
      <c r="E205" s="42"/>
      <c r="F205" s="270">
        <v>13.05</v>
      </c>
      <c r="G205" s="270">
        <v>3.9140000000000001</v>
      </c>
      <c r="H205" s="278">
        <v>9.1359999999999992</v>
      </c>
      <c r="I205" s="43">
        <f t="shared" si="6"/>
        <v>13.270286760219646</v>
      </c>
      <c r="J205" s="44">
        <f t="shared" si="7"/>
        <v>4.6507798048030253E-3</v>
      </c>
    </row>
    <row r="206" spans="2:10" ht="21.75" customHeight="1" x14ac:dyDescent="0.35">
      <c r="B206" s="21">
        <v>198</v>
      </c>
      <c r="C206" s="67" t="s">
        <v>238</v>
      </c>
      <c r="D206" s="57">
        <v>869.59500000000003</v>
      </c>
      <c r="E206" s="42"/>
      <c r="F206" s="270">
        <v>12.496</v>
      </c>
      <c r="G206" s="270">
        <v>6.452</v>
      </c>
      <c r="H206" s="278">
        <v>6.0439999999999996</v>
      </c>
      <c r="I206" s="43">
        <f t="shared" si="6"/>
        <v>1.4369907830656801</v>
      </c>
      <c r="J206" s="44">
        <f t="shared" si="7"/>
        <v>4.4533444015952958E-3</v>
      </c>
    </row>
    <row r="207" spans="2:10" ht="21.75" customHeight="1" x14ac:dyDescent="0.35">
      <c r="B207" s="106">
        <v>199</v>
      </c>
      <c r="C207" s="67" t="s">
        <v>245</v>
      </c>
      <c r="D207" s="57">
        <v>2142.252</v>
      </c>
      <c r="E207" s="42"/>
      <c r="F207" s="270">
        <v>12.06</v>
      </c>
      <c r="G207" s="270">
        <v>5.5229999999999997</v>
      </c>
      <c r="H207" s="278">
        <v>6.5369999999999999</v>
      </c>
      <c r="I207" s="43">
        <f t="shared" si="6"/>
        <v>0.56295897961584351</v>
      </c>
      <c r="J207" s="44">
        <f t="shared" si="7"/>
        <v>4.2979620265076231E-3</v>
      </c>
    </row>
    <row r="208" spans="2:10" ht="21.75" customHeight="1" x14ac:dyDescent="0.35">
      <c r="B208" s="21">
        <v>200</v>
      </c>
      <c r="C208" s="67" t="s">
        <v>239</v>
      </c>
      <c r="D208" s="57">
        <v>33.691000000000003</v>
      </c>
      <c r="E208" s="42"/>
      <c r="F208" s="270">
        <v>11.19</v>
      </c>
      <c r="G208" s="270">
        <v>5.5339999999999998</v>
      </c>
      <c r="H208" s="278">
        <v>5.6559999999999997</v>
      </c>
      <c r="I208" s="43">
        <f t="shared" si="6"/>
        <v>33.213617880146032</v>
      </c>
      <c r="J208" s="44">
        <f t="shared" si="7"/>
        <v>3.9879100395207546E-3</v>
      </c>
    </row>
    <row r="209" spans="2:10" ht="21.75" customHeight="1" x14ac:dyDescent="0.35">
      <c r="B209" s="106">
        <v>201</v>
      </c>
      <c r="C209" s="67" t="s">
        <v>240</v>
      </c>
      <c r="D209" s="57">
        <v>1318.442</v>
      </c>
      <c r="E209" s="42"/>
      <c r="F209" s="270">
        <v>8.3989999999999991</v>
      </c>
      <c r="G209" s="270">
        <v>3.323</v>
      </c>
      <c r="H209" s="278">
        <v>5.0759999999999996</v>
      </c>
      <c r="I209" s="43">
        <f t="shared" si="6"/>
        <v>0.6370397787691835</v>
      </c>
      <c r="J209" s="44">
        <f t="shared" si="7"/>
        <v>2.9932490100031111E-3</v>
      </c>
    </row>
    <row r="210" spans="2:10" ht="21.75" customHeight="1" x14ac:dyDescent="0.35">
      <c r="B210" s="21">
        <v>202</v>
      </c>
      <c r="C210" s="67" t="s">
        <v>241</v>
      </c>
      <c r="D210" s="57">
        <v>183.62899999999999</v>
      </c>
      <c r="E210" s="42"/>
      <c r="F210" s="270">
        <v>8.3379999999999992</v>
      </c>
      <c r="G210" s="270">
        <v>4.3339999999999996</v>
      </c>
      <c r="H210" s="278">
        <v>4.0039999999999996</v>
      </c>
      <c r="I210" s="43">
        <f t="shared" si="6"/>
        <v>4.5406771261619898</v>
      </c>
      <c r="J210" s="44">
        <f t="shared" si="7"/>
        <v>2.9715097327546068E-3</v>
      </c>
    </row>
    <row r="211" spans="2:10" ht="21.75" customHeight="1" x14ac:dyDescent="0.35">
      <c r="B211" s="106">
        <v>203</v>
      </c>
      <c r="C211" s="67" t="s">
        <v>242</v>
      </c>
      <c r="D211" s="57">
        <v>71.991</v>
      </c>
      <c r="E211" s="42"/>
      <c r="F211" s="270">
        <v>8.2840000000000007</v>
      </c>
      <c r="G211" s="270">
        <v>3.97</v>
      </c>
      <c r="H211" s="278">
        <v>4.3140000000000001</v>
      </c>
      <c r="I211" s="43">
        <f t="shared" si="6"/>
        <v>11.506993929796781</v>
      </c>
      <c r="J211" s="44">
        <f t="shared" si="7"/>
        <v>2.9522651266657672E-3</v>
      </c>
    </row>
    <row r="212" spans="2:10" ht="21.75" customHeight="1" x14ac:dyDescent="0.35">
      <c r="B212" s="21">
        <v>204</v>
      </c>
      <c r="C212" s="67" t="s">
        <v>243</v>
      </c>
      <c r="D212" s="57">
        <v>53.192</v>
      </c>
      <c r="E212" s="42"/>
      <c r="F212" s="270">
        <v>7.7249999999999996</v>
      </c>
      <c r="G212" s="270">
        <v>3.6589999999999998</v>
      </c>
      <c r="H212" s="278">
        <v>4.0659999999999998</v>
      </c>
      <c r="I212" s="43">
        <f t="shared" si="6"/>
        <v>14.522860580538428</v>
      </c>
      <c r="J212" s="44">
        <f t="shared" si="7"/>
        <v>2.753047815486848E-3</v>
      </c>
    </row>
    <row r="213" spans="2:10" ht="21.75" customHeight="1" x14ac:dyDescent="0.35">
      <c r="B213" s="106">
        <v>205</v>
      </c>
      <c r="C213" s="67" t="s">
        <v>244</v>
      </c>
      <c r="D213" s="57">
        <v>112.51900000000001</v>
      </c>
      <c r="E213" s="42"/>
      <c r="F213" s="270">
        <v>7.2130000000000001</v>
      </c>
      <c r="G213" s="270">
        <v>3.9209999999999998</v>
      </c>
      <c r="H213" s="278">
        <v>3.2919999999999998</v>
      </c>
      <c r="I213" s="43">
        <f t="shared" si="6"/>
        <v>6.4104728979105756</v>
      </c>
      <c r="J213" s="44">
        <f t="shared" si="7"/>
        <v>2.5705804392371048E-3</v>
      </c>
    </row>
    <row r="214" spans="2:10" ht="21.75" customHeight="1" x14ac:dyDescent="0.35">
      <c r="B214" s="21">
        <v>206</v>
      </c>
      <c r="C214" s="67" t="s">
        <v>246</v>
      </c>
      <c r="D214" s="57">
        <v>48.865000000000002</v>
      </c>
      <c r="E214" s="42"/>
      <c r="F214" s="270">
        <v>6.8120000000000003</v>
      </c>
      <c r="G214" s="270">
        <v>3.27</v>
      </c>
      <c r="H214" s="278">
        <v>3.5419999999999998</v>
      </c>
      <c r="I214" s="43">
        <f t="shared" si="6"/>
        <v>13.940448173539345</v>
      </c>
      <c r="J214" s="44">
        <f t="shared" si="7"/>
        <v>2.4276714199477551E-3</v>
      </c>
    </row>
    <row r="215" spans="2:10" ht="21.75" customHeight="1" x14ac:dyDescent="0.35">
      <c r="B215" s="106">
        <v>207</v>
      </c>
      <c r="C215" s="67" t="s">
        <v>247</v>
      </c>
      <c r="D215" s="57">
        <v>56.771999999999998</v>
      </c>
      <c r="E215" s="42"/>
      <c r="F215" s="270">
        <v>5.899</v>
      </c>
      <c r="G215" s="270">
        <v>2.077</v>
      </c>
      <c r="H215" s="278">
        <v>3.8220000000000001</v>
      </c>
      <c r="I215" s="43">
        <f t="shared" si="6"/>
        <v>10.390685549214401</v>
      </c>
      <c r="J215" s="44">
        <f t="shared" si="7"/>
        <v>2.1022950244086623E-3</v>
      </c>
    </row>
    <row r="216" spans="2:10" ht="21.75" customHeight="1" x14ac:dyDescent="0.35">
      <c r="B216" s="21">
        <v>208</v>
      </c>
      <c r="C216" s="67" t="s">
        <v>248</v>
      </c>
      <c r="D216" s="57">
        <v>15.002000000000001</v>
      </c>
      <c r="E216" s="42"/>
      <c r="F216" s="270">
        <v>5.7149999999999999</v>
      </c>
      <c r="G216" s="270">
        <v>3.0089999999999999</v>
      </c>
      <c r="H216" s="278">
        <v>2.706</v>
      </c>
      <c r="I216" s="43">
        <f t="shared" si="6"/>
        <v>38.094920677243032</v>
      </c>
      <c r="J216" s="44">
        <f t="shared" si="7"/>
        <v>2.0367208110689109E-3</v>
      </c>
    </row>
    <row r="217" spans="2:10" ht="21.75" customHeight="1" x14ac:dyDescent="0.35">
      <c r="B217" s="106">
        <v>209</v>
      </c>
      <c r="C217" s="67" t="s">
        <v>249</v>
      </c>
      <c r="D217" s="57">
        <v>33.938000000000002</v>
      </c>
      <c r="E217" s="42"/>
      <c r="F217" s="270">
        <v>5.5430000000000001</v>
      </c>
      <c r="G217" s="270">
        <v>2.552</v>
      </c>
      <c r="H217" s="278">
        <v>2.9910000000000001</v>
      </c>
      <c r="I217" s="43">
        <f t="shared" si="6"/>
        <v>16.332724379751308</v>
      </c>
      <c r="J217" s="44">
        <f t="shared" si="7"/>
        <v>1.9754231768600128E-3</v>
      </c>
    </row>
    <row r="218" spans="2:10" ht="21.75" customHeight="1" x14ac:dyDescent="0.35">
      <c r="B218" s="21">
        <v>210</v>
      </c>
      <c r="C218" s="67" t="s">
        <v>250</v>
      </c>
      <c r="D218" s="57">
        <v>597.33000000000004</v>
      </c>
      <c r="E218" s="42"/>
      <c r="F218" s="270">
        <v>5.4240000000000004</v>
      </c>
      <c r="G218" s="270">
        <v>2.2189999999999999</v>
      </c>
      <c r="H218" s="278">
        <v>3.2050000000000001</v>
      </c>
      <c r="I218" s="43">
        <f t="shared" si="6"/>
        <v>0.90804078147757528</v>
      </c>
      <c r="J218" s="44">
        <f t="shared" si="7"/>
        <v>1.9330137671457171E-3</v>
      </c>
    </row>
    <row r="219" spans="2:10" ht="21.75" customHeight="1" x14ac:dyDescent="0.35">
      <c r="B219" s="106">
        <v>211</v>
      </c>
      <c r="C219" s="67" t="s">
        <v>251</v>
      </c>
      <c r="D219" s="57">
        <v>18.091999999999999</v>
      </c>
      <c r="E219" s="42"/>
      <c r="F219" s="270">
        <v>5.0880000000000001</v>
      </c>
      <c r="G219" s="270">
        <v>2.2000000000000002</v>
      </c>
      <c r="H219" s="278">
        <v>2.8879999999999999</v>
      </c>
      <c r="I219" s="43">
        <f t="shared" si="6"/>
        <v>28.122927260667701</v>
      </c>
      <c r="J219" s="44">
        <f t="shared" si="7"/>
        <v>1.8132695514818233E-3</v>
      </c>
    </row>
    <row r="220" spans="2:10" ht="21.75" customHeight="1" x14ac:dyDescent="0.35">
      <c r="B220" s="21">
        <v>212</v>
      </c>
      <c r="C220" s="67" t="s">
        <v>253</v>
      </c>
      <c r="D220" s="57">
        <v>110.947</v>
      </c>
      <c r="E220" s="42"/>
      <c r="F220" s="270">
        <v>4.7380000000000004</v>
      </c>
      <c r="G220" s="270">
        <v>2.2949999999999999</v>
      </c>
      <c r="H220" s="278">
        <v>2.4430000000000001</v>
      </c>
      <c r="I220" s="43">
        <f t="shared" si="6"/>
        <v>4.2705075396360428</v>
      </c>
      <c r="J220" s="44">
        <f t="shared" si="7"/>
        <v>1.6885359934986004E-3</v>
      </c>
    </row>
    <row r="221" spans="2:10" ht="21.75" customHeight="1" x14ac:dyDescent="0.35">
      <c r="B221" s="106">
        <v>213</v>
      </c>
      <c r="C221" s="67" t="s">
        <v>256</v>
      </c>
      <c r="D221" s="57">
        <v>17.564</v>
      </c>
      <c r="E221" s="42"/>
      <c r="F221" s="270">
        <v>4.5789999999999997</v>
      </c>
      <c r="G221" s="270">
        <v>2.2890000000000001</v>
      </c>
      <c r="H221" s="278">
        <v>2.29</v>
      </c>
      <c r="I221" s="43">
        <f t="shared" si="6"/>
        <v>26.070371213846506</v>
      </c>
      <c r="J221" s="44">
        <f t="shared" si="7"/>
        <v>1.6318713200147931E-3</v>
      </c>
    </row>
    <row r="222" spans="2:10" ht="21.75" customHeight="1" x14ac:dyDescent="0.35">
      <c r="B222" s="21">
        <v>214</v>
      </c>
      <c r="C222" s="67" t="s">
        <v>254</v>
      </c>
      <c r="D222" s="57">
        <v>198.41</v>
      </c>
      <c r="E222" s="42"/>
      <c r="F222" s="270">
        <v>4.0209999999999999</v>
      </c>
      <c r="G222" s="270">
        <v>1.99</v>
      </c>
      <c r="H222" s="278">
        <v>2.0310000000000001</v>
      </c>
      <c r="I222" s="43">
        <f t="shared" si="6"/>
        <v>2.026611561917242</v>
      </c>
      <c r="J222" s="44">
        <f t="shared" si="7"/>
        <v>1.433010390430112E-3</v>
      </c>
    </row>
    <row r="223" spans="2:10" ht="21.75" customHeight="1" x14ac:dyDescent="0.35">
      <c r="B223" s="106">
        <v>215</v>
      </c>
      <c r="C223" s="67" t="s">
        <v>255</v>
      </c>
      <c r="D223" s="57">
        <v>105.697</v>
      </c>
      <c r="E223" s="42"/>
      <c r="F223" s="270">
        <v>3.742</v>
      </c>
      <c r="G223" s="270">
        <v>1.698</v>
      </c>
      <c r="H223" s="278">
        <v>2.044</v>
      </c>
      <c r="I223" s="43">
        <f t="shared" si="6"/>
        <v>3.5403086180307861</v>
      </c>
      <c r="J223" s="44">
        <f t="shared" si="7"/>
        <v>1.3335799256377716E-3</v>
      </c>
    </row>
    <row r="224" spans="2:10" ht="21.75" customHeight="1" x14ac:dyDescent="0.35">
      <c r="B224" s="21">
        <v>216</v>
      </c>
      <c r="C224" s="67" t="s">
        <v>257</v>
      </c>
      <c r="D224" s="57">
        <v>59.194000000000003</v>
      </c>
      <c r="E224" s="42"/>
      <c r="F224" s="270">
        <v>3.298</v>
      </c>
      <c r="G224" s="270">
        <v>1.2769999999999999</v>
      </c>
      <c r="H224" s="278">
        <v>2.0209999999999999</v>
      </c>
      <c r="I224" s="43">
        <f t="shared" si="6"/>
        <v>5.5715106260769671</v>
      </c>
      <c r="J224" s="44">
        <f t="shared" si="7"/>
        <v>1.1753464977961973E-3</v>
      </c>
    </row>
    <row r="225" spans="2:10" ht="21.75" customHeight="1" x14ac:dyDescent="0.35">
      <c r="B225" s="106">
        <v>217</v>
      </c>
      <c r="C225" s="67" t="s">
        <v>258</v>
      </c>
      <c r="D225" s="57">
        <v>307.14999999999998</v>
      </c>
      <c r="E225" s="42"/>
      <c r="F225" s="270">
        <v>3.2570000000000001</v>
      </c>
      <c r="G225" s="270">
        <v>1.6379999999999999</v>
      </c>
      <c r="H225" s="278">
        <v>1.619</v>
      </c>
      <c r="I225" s="43">
        <f t="shared" si="6"/>
        <v>1.0603939443268762</v>
      </c>
      <c r="J225" s="44">
        <f t="shared" si="7"/>
        <v>1.1607348524324485E-3</v>
      </c>
    </row>
    <row r="226" spans="2:10" ht="21.75" customHeight="1" x14ac:dyDescent="0.35">
      <c r="B226" s="21">
        <v>218</v>
      </c>
      <c r="C226" s="67" t="s">
        <v>259</v>
      </c>
      <c r="D226" s="57">
        <v>119.446</v>
      </c>
      <c r="E226" s="42"/>
      <c r="F226" s="270">
        <v>3.1259999999999999</v>
      </c>
      <c r="G226" s="270">
        <v>1.476</v>
      </c>
      <c r="H226" s="278">
        <v>1.65</v>
      </c>
      <c r="I226" s="43">
        <f t="shared" si="6"/>
        <v>2.6170821961388411</v>
      </c>
      <c r="J226" s="44">
        <f t="shared" si="7"/>
        <v>1.1140488635872994E-3</v>
      </c>
    </row>
    <row r="227" spans="2:10" ht="21.75" customHeight="1" x14ac:dyDescent="0.35">
      <c r="B227" s="106">
        <v>219</v>
      </c>
      <c r="C227" s="67" t="s">
        <v>252</v>
      </c>
      <c r="D227" s="57">
        <v>11326.616</v>
      </c>
      <c r="E227" s="42"/>
      <c r="F227" s="270">
        <v>3.024</v>
      </c>
      <c r="G227" s="270">
        <v>1.712</v>
      </c>
      <c r="H227" s="278">
        <v>1.3120000000000001</v>
      </c>
      <c r="I227" s="43">
        <f t="shared" si="6"/>
        <v>2.6698177107796366E-2</v>
      </c>
      <c r="J227" s="44">
        <f t="shared" si="7"/>
        <v>1.0776979409750458E-3</v>
      </c>
    </row>
    <row r="228" spans="2:10" ht="21.75" customHeight="1" x14ac:dyDescent="0.35">
      <c r="B228" s="21">
        <v>220</v>
      </c>
      <c r="C228" s="67" t="s">
        <v>279</v>
      </c>
      <c r="D228" s="57">
        <v>115.021</v>
      </c>
      <c r="E228" s="42"/>
      <c r="F228" s="270">
        <v>2.8319999999999999</v>
      </c>
      <c r="G228" s="270">
        <v>1.3169999999999999</v>
      </c>
      <c r="H228" s="278">
        <v>1.5149999999999999</v>
      </c>
      <c r="I228" s="43">
        <f t="shared" si="6"/>
        <v>2.4621590839933578</v>
      </c>
      <c r="J228" s="44">
        <f t="shared" si="7"/>
        <v>1.0092726748813922E-3</v>
      </c>
    </row>
    <row r="229" spans="2:10" ht="21.75" customHeight="1" x14ac:dyDescent="0.35">
      <c r="B229" s="106">
        <v>221</v>
      </c>
      <c r="C229" s="67" t="s">
        <v>260</v>
      </c>
      <c r="D229" s="57">
        <v>686.87800000000004</v>
      </c>
      <c r="E229" s="42"/>
      <c r="F229" s="270">
        <v>2.52</v>
      </c>
      <c r="G229" s="270">
        <v>1.105</v>
      </c>
      <c r="H229" s="278">
        <v>1.415</v>
      </c>
      <c r="I229" s="43">
        <f t="shared" si="6"/>
        <v>0.36687737851554419</v>
      </c>
      <c r="J229" s="44">
        <f t="shared" si="7"/>
        <v>8.9808161747920482E-4</v>
      </c>
    </row>
    <row r="230" spans="2:10" ht="21.75" customHeight="1" x14ac:dyDescent="0.35">
      <c r="B230" s="21">
        <v>222</v>
      </c>
      <c r="C230" s="67" t="s">
        <v>262</v>
      </c>
      <c r="D230" s="57">
        <v>10.834</v>
      </c>
      <c r="E230" s="42"/>
      <c r="F230" s="270">
        <v>2.2010000000000001</v>
      </c>
      <c r="G230" s="270">
        <v>0.90400000000000003</v>
      </c>
      <c r="H230" s="278">
        <v>1.2969999999999999</v>
      </c>
      <c r="I230" s="43">
        <f t="shared" si="6"/>
        <v>20.315672881668824</v>
      </c>
      <c r="J230" s="44">
        <f t="shared" si="7"/>
        <v>7.8439588891735304E-4</v>
      </c>
    </row>
    <row r="231" spans="2:10" ht="21.75" customHeight="1" x14ac:dyDescent="0.35">
      <c r="B231" s="106">
        <v>223</v>
      </c>
      <c r="C231" s="67" t="s">
        <v>261</v>
      </c>
      <c r="D231" s="57">
        <v>219.161</v>
      </c>
      <c r="E231" s="42"/>
      <c r="F231" s="270">
        <v>2.1389999999999998</v>
      </c>
      <c r="G231" s="270">
        <v>1.0720000000000001</v>
      </c>
      <c r="H231" s="278">
        <v>1.0669999999999999</v>
      </c>
      <c r="I231" s="43">
        <f t="shared" si="6"/>
        <v>0.97599481659601839</v>
      </c>
      <c r="J231" s="44">
        <f t="shared" si="7"/>
        <v>7.6230023007461077E-4</v>
      </c>
    </row>
    <row r="232" spans="2:10" ht="21.75" customHeight="1" x14ac:dyDescent="0.35">
      <c r="B232" s="21">
        <v>224</v>
      </c>
      <c r="C232" s="67" t="s">
        <v>264</v>
      </c>
      <c r="D232" s="57">
        <v>11.246</v>
      </c>
      <c r="E232" s="41"/>
      <c r="F232" s="270">
        <v>2.04</v>
      </c>
      <c r="G232" s="270">
        <v>1.01</v>
      </c>
      <c r="H232" s="278">
        <v>1.03</v>
      </c>
      <c r="I232" s="244">
        <f t="shared" si="6"/>
        <v>18.139783033967632</v>
      </c>
      <c r="J232" s="245">
        <f t="shared" si="7"/>
        <v>7.2701845224507056E-4</v>
      </c>
    </row>
    <row r="233" spans="2:10" ht="21.75" customHeight="1" x14ac:dyDescent="0.35">
      <c r="B233" s="106">
        <v>225</v>
      </c>
      <c r="C233" s="67" t="s">
        <v>280</v>
      </c>
      <c r="D233" s="57">
        <v>3.4830000000000001</v>
      </c>
      <c r="E233" s="42"/>
      <c r="F233" s="270">
        <v>1.9570000000000001</v>
      </c>
      <c r="G233" s="270">
        <v>0.86799999999999999</v>
      </c>
      <c r="H233" s="278">
        <v>1.089</v>
      </c>
      <c r="I233" s="43">
        <f t="shared" si="6"/>
        <v>56.187194946884865</v>
      </c>
      <c r="J233" s="44">
        <f t="shared" si="7"/>
        <v>6.9743877992333489E-4</v>
      </c>
    </row>
    <row r="234" spans="2:10" ht="21.75" customHeight="1" x14ac:dyDescent="0.35">
      <c r="B234" s="21">
        <v>226</v>
      </c>
      <c r="C234" s="67" t="s">
        <v>263</v>
      </c>
      <c r="D234" s="57">
        <v>4.9989999999999997</v>
      </c>
      <c r="E234" s="42"/>
      <c r="F234" s="270">
        <v>1.379</v>
      </c>
      <c r="G234" s="270">
        <v>0.66800000000000004</v>
      </c>
      <c r="H234" s="278">
        <v>0.71099999999999997</v>
      </c>
      <c r="I234" s="43">
        <f t="shared" si="6"/>
        <v>27.585517103420688</v>
      </c>
      <c r="J234" s="44">
        <f t="shared" si="7"/>
        <v>4.9145021845389814E-4</v>
      </c>
    </row>
    <row r="235" spans="2:10" ht="21.75" customHeight="1" x14ac:dyDescent="0.35">
      <c r="B235" s="106">
        <v>227</v>
      </c>
      <c r="C235" s="67" t="s">
        <v>268</v>
      </c>
      <c r="D235" s="57">
        <v>1.35</v>
      </c>
      <c r="E235" s="42"/>
      <c r="F235" s="270">
        <v>1.238</v>
      </c>
      <c r="G235" s="270">
        <v>0.65200000000000002</v>
      </c>
      <c r="H235" s="278">
        <v>0.58599999999999997</v>
      </c>
      <c r="I235" s="43">
        <f t="shared" si="6"/>
        <v>91.703703703703695</v>
      </c>
      <c r="J235" s="44">
        <f t="shared" si="7"/>
        <v>4.4120041366637133E-4</v>
      </c>
    </row>
    <row r="236" spans="2:10" ht="21.75" customHeight="1" x14ac:dyDescent="0.35">
      <c r="B236" s="21">
        <v>228</v>
      </c>
      <c r="C236" s="67" t="s">
        <v>265</v>
      </c>
      <c r="D236" s="57">
        <v>5.7949999999999999</v>
      </c>
      <c r="E236" s="42"/>
      <c r="F236" s="270">
        <v>0.998</v>
      </c>
      <c r="G236" s="282">
        <v>0.47499999999999998</v>
      </c>
      <c r="H236" s="278">
        <v>0.52300000000000002</v>
      </c>
      <c r="I236" s="43">
        <f t="shared" si="6"/>
        <v>17.221742881794651</v>
      </c>
      <c r="J236" s="44">
        <f t="shared" si="7"/>
        <v>3.5566883104930414E-4</v>
      </c>
    </row>
    <row r="237" spans="2:10" ht="21.75" customHeight="1" x14ac:dyDescent="0.35">
      <c r="B237" s="106">
        <v>229</v>
      </c>
      <c r="C237" s="67" t="s">
        <v>266</v>
      </c>
      <c r="D237" s="57">
        <v>0.80900000000000005</v>
      </c>
      <c r="E237" s="41"/>
      <c r="F237" s="270">
        <v>0.80900000000000005</v>
      </c>
      <c r="G237" s="282">
        <v>0.437</v>
      </c>
      <c r="H237" s="281">
        <v>0.372</v>
      </c>
      <c r="I237" s="244">
        <f t="shared" si="6"/>
        <v>100</v>
      </c>
      <c r="J237" s="245">
        <f t="shared" si="7"/>
        <v>2.8831270973836382E-4</v>
      </c>
    </row>
    <row r="238" spans="2:10" ht="21.75" customHeight="1" x14ac:dyDescent="0.35">
      <c r="B238" s="21">
        <v>230</v>
      </c>
      <c r="C238" s="67" t="s">
        <v>267</v>
      </c>
      <c r="D238" s="57">
        <v>1.6180000000000001</v>
      </c>
      <c r="E238" s="42"/>
      <c r="F238" s="270">
        <v>0.58799999999999997</v>
      </c>
      <c r="G238" s="282">
        <v>0.26900000000000002</v>
      </c>
      <c r="H238" s="281">
        <v>0.31900000000000001</v>
      </c>
      <c r="I238" s="43">
        <f t="shared" si="6"/>
        <v>36.341161928306548</v>
      </c>
      <c r="J238" s="44">
        <f t="shared" si="7"/>
        <v>2.0955237741181442E-4</v>
      </c>
    </row>
    <row r="239" spans="2:10" ht="21.75" customHeight="1" x14ac:dyDescent="0.35">
      <c r="B239" s="106">
        <v>231</v>
      </c>
      <c r="C239" s="67" t="s">
        <v>269</v>
      </c>
      <c r="D239" s="57">
        <v>6.0709999999999997</v>
      </c>
      <c r="E239" s="41"/>
      <c r="F239" s="282">
        <v>0.437</v>
      </c>
      <c r="G239" s="282">
        <v>0.13100000000000001</v>
      </c>
      <c r="H239" s="283">
        <v>0.30599999999999999</v>
      </c>
      <c r="I239" s="43">
        <f t="shared" si="6"/>
        <v>7.1981551638939223</v>
      </c>
      <c r="J239" s="44">
        <f t="shared" si="7"/>
        <v>1.5573875668190972E-4</v>
      </c>
    </row>
    <row r="240" spans="2:10" ht="21.75" customHeight="1" x14ac:dyDescent="0.35">
      <c r="B240" s="21">
        <v>232</v>
      </c>
      <c r="C240" s="67" t="s">
        <v>270</v>
      </c>
      <c r="D240" s="57">
        <v>11.792</v>
      </c>
      <c r="E240" s="42"/>
      <c r="F240" s="282">
        <v>0.23899999999999999</v>
      </c>
      <c r="G240" s="282">
        <v>0.107</v>
      </c>
      <c r="H240" s="283">
        <v>0.13200000000000001</v>
      </c>
      <c r="I240" s="43">
        <f t="shared" si="6"/>
        <v>2.0267978290366346</v>
      </c>
      <c r="J240" s="44">
        <f t="shared" si="7"/>
        <v>8.5175201022829347E-5</v>
      </c>
    </row>
    <row r="241" spans="2:10" ht="21.75" customHeight="1" x14ac:dyDescent="0.35">
      <c r="B241" s="106">
        <v>233</v>
      </c>
      <c r="C241" s="67" t="s">
        <v>324</v>
      </c>
      <c r="D241" s="57">
        <v>23816.775000000001</v>
      </c>
      <c r="E241" s="42"/>
      <c r="F241" s="285">
        <v>0</v>
      </c>
      <c r="G241" s="285">
        <v>0</v>
      </c>
      <c r="H241" s="286">
        <v>0</v>
      </c>
      <c r="I241" s="249">
        <f t="shared" si="6"/>
        <v>0</v>
      </c>
      <c r="J241" s="248">
        <f t="shared" si="7"/>
        <v>0</v>
      </c>
    </row>
    <row r="242" spans="2:10" ht="21.75" customHeight="1" x14ac:dyDescent="0.35">
      <c r="B242" s="21">
        <v>234</v>
      </c>
      <c r="C242" s="67" t="s">
        <v>327</v>
      </c>
      <c r="D242" s="57">
        <v>38.658999999999999</v>
      </c>
      <c r="E242" s="41"/>
      <c r="F242" s="285">
        <v>0</v>
      </c>
      <c r="G242" s="285">
        <v>0</v>
      </c>
      <c r="H242" s="286">
        <v>0</v>
      </c>
      <c r="I242" s="251">
        <f t="shared" si="6"/>
        <v>0</v>
      </c>
      <c r="J242" s="250">
        <f t="shared" si="7"/>
        <v>0</v>
      </c>
    </row>
    <row r="243" spans="2:10" ht="21.75" customHeight="1" x14ac:dyDescent="0.35">
      <c r="B243" s="106">
        <v>235</v>
      </c>
      <c r="C243" s="91" t="s">
        <v>325</v>
      </c>
      <c r="D243" s="92">
        <v>9.8849999999999998</v>
      </c>
      <c r="E243" s="83"/>
      <c r="F243" s="287">
        <v>0</v>
      </c>
      <c r="G243" s="287">
        <v>0</v>
      </c>
      <c r="H243" s="297">
        <v>0</v>
      </c>
      <c r="I243" s="269">
        <f t="shared" si="6"/>
        <v>0</v>
      </c>
      <c r="J243" s="268">
        <f t="shared" si="7"/>
        <v>0</v>
      </c>
    </row>
    <row r="244" spans="2:10" ht="15" customHeight="1" x14ac:dyDescent="0.35">
      <c r="B244" s="106"/>
      <c r="C244" s="67"/>
      <c r="D244" s="57"/>
      <c r="E244" s="41"/>
      <c r="F244" s="247"/>
      <c r="G244" s="247"/>
      <c r="H244" s="250"/>
      <c r="I244" s="251"/>
      <c r="J244" s="250"/>
    </row>
    <row r="245" spans="2:10" ht="15" customHeight="1" x14ac:dyDescent="0.35">
      <c r="B245" s="18" t="s">
        <v>284</v>
      </c>
      <c r="C245" s="67"/>
      <c r="D245" s="57"/>
      <c r="E245" s="41"/>
      <c r="F245" s="247"/>
      <c r="G245" s="247"/>
      <c r="H245" s="250"/>
      <c r="I245" s="251"/>
      <c r="J245" s="250"/>
    </row>
    <row r="246" spans="2:10" ht="15" customHeight="1" x14ac:dyDescent="0.35">
      <c r="B246" s="288" t="s">
        <v>380</v>
      </c>
      <c r="C246" s="67"/>
      <c r="D246" s="57"/>
      <c r="E246" s="41"/>
      <c r="F246" s="247"/>
      <c r="G246" s="247"/>
      <c r="H246" s="250"/>
      <c r="I246" s="251"/>
      <c r="J246" s="250"/>
    </row>
    <row r="247" spans="2:10" ht="15" customHeight="1" x14ac:dyDescent="0.35">
      <c r="B247" s="242" t="s">
        <v>319</v>
      </c>
      <c r="C247" s="179"/>
      <c r="D247" s="179"/>
      <c r="E247" s="179"/>
      <c r="F247" s="179"/>
      <c r="G247" s="179"/>
      <c r="H247" s="179"/>
      <c r="I247" s="179"/>
      <c r="J247" s="179"/>
    </row>
    <row r="248" spans="2:10" ht="18" x14ac:dyDescent="0.35">
      <c r="B248" s="179" t="s">
        <v>316</v>
      </c>
      <c r="C248" s="180"/>
      <c r="D248" s="180"/>
      <c r="E248" s="180"/>
      <c r="F248" s="180"/>
      <c r="G248" s="180"/>
      <c r="H248" s="180"/>
      <c r="I248" s="180"/>
      <c r="J248" s="180"/>
    </row>
    <row r="249" spans="2:10" ht="26.25" customHeight="1" x14ac:dyDescent="0.35">
      <c r="B249" s="348" t="s">
        <v>318</v>
      </c>
      <c r="C249" s="348"/>
      <c r="D249" s="348"/>
      <c r="E249" s="348"/>
      <c r="F249" s="348"/>
      <c r="G249" s="348"/>
      <c r="H249" s="348"/>
      <c r="I249" s="348"/>
      <c r="J249" s="348"/>
    </row>
    <row r="250" spans="2:10" ht="15" customHeight="1" x14ac:dyDescent="0.35">
      <c r="B250" s="1"/>
      <c r="D250" s="1"/>
      <c r="F250" s="1"/>
      <c r="G250" s="1"/>
    </row>
    <row r="251" spans="2:10" ht="57" hidden="1" customHeight="1" x14ac:dyDescent="0.35"/>
    <row r="252" spans="2:10" ht="21.75" hidden="1" customHeight="1" x14ac:dyDescent="0.35">
      <c r="B252" s="21"/>
      <c r="C252" s="67"/>
      <c r="D252" s="57"/>
      <c r="E252" s="42"/>
      <c r="F252" s="165"/>
      <c r="G252" s="165"/>
      <c r="H252" s="166"/>
      <c r="I252" s="43"/>
      <c r="J252" s="44"/>
    </row>
    <row r="253" spans="2:10" ht="21.75" hidden="1" customHeight="1" x14ac:dyDescent="0.35">
      <c r="B253" s="21"/>
      <c r="C253" s="67"/>
      <c r="D253" s="57"/>
      <c r="E253" s="42"/>
      <c r="F253" s="165"/>
      <c r="G253" s="165"/>
      <c r="H253" s="166"/>
      <c r="I253" s="43"/>
      <c r="J253" s="44"/>
    </row>
    <row r="254" spans="2:10" ht="21.75" hidden="1" customHeight="1" x14ac:dyDescent="0.35">
      <c r="B254" s="21"/>
      <c r="C254" s="67"/>
      <c r="D254" s="57"/>
      <c r="E254" s="42"/>
      <c r="F254" s="165"/>
      <c r="G254" s="165"/>
      <c r="H254" s="166"/>
      <c r="I254" s="43"/>
      <c r="J254" s="44"/>
    </row>
    <row r="255" spans="2:10" ht="21.75" hidden="1" customHeight="1" x14ac:dyDescent="0.35">
      <c r="B255" s="21"/>
      <c r="C255" s="67"/>
      <c r="D255" s="57"/>
      <c r="E255" s="42"/>
      <c r="F255" s="165"/>
      <c r="G255" s="165"/>
      <c r="H255" s="166"/>
      <c r="I255" s="43"/>
      <c r="J255" s="44"/>
    </row>
    <row r="256" spans="2:10" ht="21.75" hidden="1" customHeight="1" x14ac:dyDescent="0.35">
      <c r="B256" s="21"/>
      <c r="C256" s="67"/>
      <c r="D256" s="57"/>
      <c r="E256" s="42"/>
      <c r="F256" s="165"/>
      <c r="G256" s="165"/>
      <c r="H256" s="166"/>
      <c r="I256" s="43"/>
      <c r="J256" s="44"/>
    </row>
    <row r="257" spans="2:10" ht="21.75" hidden="1" customHeight="1" x14ac:dyDescent="0.35">
      <c r="B257" s="21"/>
      <c r="C257" s="67"/>
      <c r="D257" s="57"/>
      <c r="E257" s="42"/>
      <c r="F257" s="165"/>
      <c r="G257" s="165"/>
      <c r="H257" s="166"/>
      <c r="I257" s="43"/>
      <c r="J257" s="44"/>
    </row>
    <row r="258" spans="2:10" ht="21.75" hidden="1" customHeight="1" x14ac:dyDescent="0.35">
      <c r="B258" s="21"/>
      <c r="C258" s="67"/>
      <c r="D258" s="57"/>
      <c r="E258" s="42"/>
      <c r="F258" s="165"/>
      <c r="G258" s="165"/>
      <c r="H258" s="166"/>
      <c r="I258" s="43"/>
      <c r="J258" s="44"/>
    </row>
    <row r="259" spans="2:10" ht="21.75" hidden="1" customHeight="1" x14ac:dyDescent="0.35">
      <c r="B259" s="21"/>
      <c r="C259" s="67"/>
      <c r="D259" s="57"/>
      <c r="E259" s="42"/>
      <c r="F259" s="165"/>
      <c r="G259" s="165"/>
      <c r="H259" s="166"/>
      <c r="I259" s="43"/>
      <c r="J259" s="44"/>
    </row>
    <row r="260" spans="2:10" ht="21.75" hidden="1" customHeight="1" x14ac:dyDescent="0.35">
      <c r="B260" s="21"/>
      <c r="C260" s="67"/>
      <c r="D260" s="57"/>
      <c r="E260" s="42"/>
      <c r="F260" s="165"/>
      <c r="G260" s="165"/>
      <c r="H260" s="166"/>
      <c r="I260" s="43"/>
      <c r="J260" s="44"/>
    </row>
    <row r="261" spans="2:10" ht="21.75" hidden="1" customHeight="1" x14ac:dyDescent="0.35">
      <c r="B261" s="21"/>
      <c r="C261" s="67"/>
      <c r="D261" s="57"/>
      <c r="E261" s="42"/>
      <c r="F261" s="165"/>
      <c r="G261" s="165"/>
      <c r="H261" s="166"/>
      <c r="I261" s="43"/>
      <c r="J261" s="44"/>
    </row>
    <row r="262" spans="2:10" ht="21.75" hidden="1" customHeight="1" x14ac:dyDescent="0.35">
      <c r="B262" s="21"/>
      <c r="C262" s="67"/>
      <c r="D262" s="57"/>
      <c r="E262" s="42"/>
      <c r="F262" s="165"/>
      <c r="G262" s="165"/>
      <c r="H262" s="166"/>
      <c r="I262" s="43"/>
      <c r="J262" s="44"/>
    </row>
    <row r="263" spans="2:10" ht="21.75" hidden="1" customHeight="1" x14ac:dyDescent="0.35">
      <c r="B263" s="21"/>
      <c r="C263" s="67"/>
      <c r="D263" s="57"/>
      <c r="E263" s="42"/>
      <c r="F263" s="165"/>
      <c r="G263" s="165"/>
      <c r="H263" s="166"/>
      <c r="I263" s="43"/>
      <c r="J263" s="44"/>
    </row>
    <row r="264" spans="2:10" ht="21.75" hidden="1" customHeight="1" x14ac:dyDescent="0.35">
      <c r="B264" s="21"/>
      <c r="C264" s="67"/>
      <c r="D264" s="57"/>
      <c r="E264" s="42"/>
      <c r="F264" s="165"/>
      <c r="G264" s="165"/>
      <c r="H264" s="166"/>
      <c r="I264" s="43"/>
      <c r="J264" s="44"/>
    </row>
    <row r="265" spans="2:10" ht="21.75" hidden="1" customHeight="1" x14ac:dyDescent="0.35">
      <c r="B265" s="21"/>
      <c r="C265" s="67"/>
      <c r="D265" s="57"/>
      <c r="E265" s="42"/>
      <c r="F265" s="165"/>
      <c r="G265" s="165"/>
      <c r="H265" s="166"/>
      <c r="I265" s="43"/>
      <c r="J265" s="44"/>
    </row>
    <row r="266" spans="2:10" ht="21.75" hidden="1" customHeight="1" x14ac:dyDescent="0.35">
      <c r="B266" s="21"/>
      <c r="C266" s="67"/>
      <c r="D266" s="57"/>
      <c r="E266" s="42"/>
      <c r="F266" s="165"/>
      <c r="G266" s="165"/>
      <c r="H266" s="166"/>
      <c r="I266" s="43"/>
      <c r="J266" s="44"/>
    </row>
    <row r="267" spans="2:10" ht="21.75" hidden="1" customHeight="1" x14ac:dyDescent="0.35">
      <c r="B267" s="21"/>
      <c r="C267" s="67"/>
      <c r="D267" s="57"/>
      <c r="E267" s="42"/>
      <c r="F267" s="165"/>
      <c r="G267" s="165"/>
      <c r="H267" s="166"/>
      <c r="I267" s="43"/>
      <c r="J267" s="44"/>
    </row>
    <row r="268" spans="2:10" ht="21.75" hidden="1" customHeight="1" x14ac:dyDescent="0.35">
      <c r="B268" s="21"/>
      <c r="C268" s="67"/>
      <c r="D268" s="57"/>
      <c r="E268" s="42"/>
      <c r="F268" s="165"/>
      <c r="G268" s="165"/>
      <c r="H268" s="166"/>
      <c r="I268" s="43"/>
      <c r="J268" s="44"/>
    </row>
    <row r="269" spans="2:10" ht="21.75" hidden="1" customHeight="1" x14ac:dyDescent="0.35">
      <c r="B269" s="21"/>
      <c r="C269" s="67"/>
      <c r="D269" s="57"/>
      <c r="E269" s="42"/>
      <c r="F269" s="165"/>
      <c r="G269" s="165"/>
      <c r="H269" s="166"/>
      <c r="I269" s="43"/>
      <c r="J269" s="44"/>
    </row>
    <row r="270" spans="2:10" ht="21.75" hidden="1" customHeight="1" x14ac:dyDescent="0.35">
      <c r="B270" s="21"/>
      <c r="C270" s="67"/>
      <c r="D270" s="57"/>
      <c r="E270" s="42"/>
      <c r="F270" s="165"/>
      <c r="G270" s="165"/>
      <c r="H270" s="166"/>
      <c r="I270" s="43"/>
      <c r="J270" s="44"/>
    </row>
    <row r="271" spans="2:10" ht="21.75" hidden="1" customHeight="1" x14ac:dyDescent="0.35">
      <c r="B271" s="21"/>
      <c r="C271" s="67"/>
      <c r="D271" s="57"/>
      <c r="E271" s="42"/>
      <c r="F271" s="165"/>
      <c r="G271" s="165"/>
      <c r="H271" s="166"/>
      <c r="I271" s="43"/>
      <c r="J271" s="44"/>
    </row>
    <row r="272" spans="2:10" ht="21.75" hidden="1" customHeight="1" x14ac:dyDescent="0.35">
      <c r="B272" s="21"/>
      <c r="C272" s="67"/>
      <c r="D272" s="57"/>
      <c r="E272" s="42"/>
      <c r="F272" s="165"/>
      <c r="G272" s="165"/>
      <c r="H272" s="166"/>
      <c r="I272" s="43"/>
      <c r="J272" s="44"/>
    </row>
    <row r="273" spans="2:10" ht="21.75" hidden="1" customHeight="1" x14ac:dyDescent="0.35">
      <c r="B273" s="21"/>
      <c r="C273" s="67"/>
      <c r="D273" s="57"/>
      <c r="E273" s="42"/>
      <c r="F273" s="165"/>
      <c r="G273" s="165"/>
      <c r="H273" s="166"/>
      <c r="I273" s="43"/>
      <c r="J273" s="44"/>
    </row>
    <row r="274" spans="2:10" ht="21.75" hidden="1" customHeight="1" x14ac:dyDescent="0.35">
      <c r="B274" s="21"/>
      <c r="C274" s="67"/>
      <c r="D274" s="57"/>
      <c r="E274" s="42"/>
      <c r="F274" s="165"/>
      <c r="G274" s="165"/>
      <c r="H274" s="166"/>
      <c r="I274" s="43"/>
      <c r="J274" s="44"/>
    </row>
    <row r="275" spans="2:10" ht="21.75" hidden="1" customHeight="1" x14ac:dyDescent="0.35">
      <c r="B275" s="21"/>
      <c r="C275" s="67"/>
      <c r="D275" s="57"/>
      <c r="E275" s="42"/>
      <c r="F275" s="165"/>
      <c r="G275" s="165"/>
      <c r="H275" s="166"/>
      <c r="I275" s="43"/>
      <c r="J275" s="44"/>
    </row>
    <row r="276" spans="2:10" ht="21.75" hidden="1" customHeight="1" x14ac:dyDescent="0.35">
      <c r="B276" s="21"/>
      <c r="C276" s="67"/>
      <c r="D276" s="57"/>
      <c r="E276" s="42"/>
      <c r="F276" s="165"/>
      <c r="G276" s="165"/>
      <c r="H276" s="166"/>
      <c r="I276" s="43"/>
      <c r="J276" s="44"/>
    </row>
    <row r="277" spans="2:10" ht="21.75" hidden="1" customHeight="1" x14ac:dyDescent="0.35">
      <c r="B277" s="21"/>
      <c r="C277" s="67"/>
      <c r="D277" s="57"/>
      <c r="E277" s="42"/>
      <c r="F277" s="165"/>
      <c r="G277" s="165"/>
      <c r="H277" s="166"/>
      <c r="I277" s="43"/>
      <c r="J277" s="44"/>
    </row>
    <row r="278" spans="2:10" ht="21.75" hidden="1" customHeight="1" x14ac:dyDescent="0.35">
      <c r="B278" s="21"/>
      <c r="C278" s="67"/>
      <c r="D278" s="57"/>
      <c r="E278" s="42"/>
      <c r="F278" s="165"/>
      <c r="G278" s="165"/>
      <c r="H278" s="166"/>
      <c r="I278" s="43"/>
      <c r="J278" s="44"/>
    </row>
    <row r="279" spans="2:10" ht="21.75" hidden="1" customHeight="1" x14ac:dyDescent="0.35">
      <c r="B279" s="21"/>
      <c r="C279" s="67"/>
      <c r="D279" s="57"/>
      <c r="E279" s="42"/>
      <c r="F279" s="165"/>
      <c r="G279" s="165"/>
      <c r="H279" s="166"/>
      <c r="I279" s="43"/>
      <c r="J279" s="44"/>
    </row>
    <row r="280" spans="2:10" ht="21.75" hidden="1" customHeight="1" x14ac:dyDescent="0.35">
      <c r="B280" s="21"/>
      <c r="C280" s="67"/>
      <c r="D280" s="57"/>
      <c r="E280" s="42"/>
      <c r="F280" s="165"/>
      <c r="G280" s="165"/>
      <c r="H280" s="166"/>
      <c r="I280" s="43"/>
      <c r="J280" s="44"/>
    </row>
    <row r="281" spans="2:10" ht="21.75" hidden="1" customHeight="1" x14ac:dyDescent="0.35">
      <c r="B281" s="21"/>
      <c r="C281" s="67"/>
      <c r="D281" s="57"/>
      <c r="E281" s="42"/>
      <c r="F281" s="165"/>
      <c r="G281" s="165"/>
      <c r="H281" s="166"/>
      <c r="I281" s="43"/>
      <c r="J281" s="44"/>
    </row>
    <row r="282" spans="2:10" ht="21.75" hidden="1" customHeight="1" x14ac:dyDescent="0.35">
      <c r="B282" s="21"/>
      <c r="C282" s="67"/>
      <c r="D282" s="57"/>
      <c r="E282" s="42"/>
      <c r="F282" s="165"/>
      <c r="G282" s="165"/>
      <c r="H282" s="166"/>
      <c r="I282" s="43"/>
      <c r="J282" s="44"/>
    </row>
    <row r="283" spans="2:10" ht="21.75" hidden="1" customHeight="1" x14ac:dyDescent="0.35">
      <c r="B283" s="21"/>
      <c r="C283" s="67"/>
      <c r="D283" s="57"/>
      <c r="E283" s="42"/>
      <c r="F283" s="165"/>
      <c r="G283" s="165"/>
      <c r="H283" s="166"/>
      <c r="I283" s="43"/>
      <c r="J283" s="44"/>
    </row>
    <row r="284" spans="2:10" ht="21.75" hidden="1" customHeight="1" x14ac:dyDescent="0.35">
      <c r="B284" s="21"/>
      <c r="C284" s="67"/>
      <c r="D284" s="57"/>
      <c r="E284" s="42"/>
      <c r="F284" s="165"/>
      <c r="G284" s="165"/>
      <c r="H284" s="166"/>
      <c r="I284" s="43"/>
      <c r="J284" s="44"/>
    </row>
    <row r="285" spans="2:10" ht="21.75" hidden="1" customHeight="1" x14ac:dyDescent="0.35">
      <c r="B285" s="21"/>
      <c r="C285" s="67"/>
      <c r="D285" s="57"/>
      <c r="E285" s="42"/>
      <c r="F285" s="165"/>
      <c r="G285" s="165"/>
      <c r="H285" s="166"/>
      <c r="I285" s="43"/>
      <c r="J285" s="44"/>
    </row>
    <row r="286" spans="2:10" ht="21.75" hidden="1" customHeight="1" x14ac:dyDescent="0.35">
      <c r="B286" s="21"/>
      <c r="C286" s="67"/>
      <c r="D286" s="57"/>
      <c r="E286" s="42"/>
      <c r="F286" s="165"/>
      <c r="G286" s="165"/>
      <c r="H286" s="166"/>
      <c r="I286" s="43"/>
      <c r="J286" s="44"/>
    </row>
    <row r="287" spans="2:10" ht="21.75" hidden="1" customHeight="1" x14ac:dyDescent="0.35">
      <c r="B287" s="21"/>
      <c r="C287" s="67"/>
      <c r="D287" s="57"/>
      <c r="E287" s="42"/>
      <c r="F287" s="165"/>
      <c r="G287" s="165"/>
      <c r="H287" s="166"/>
      <c r="I287" s="43"/>
      <c r="J287" s="44"/>
    </row>
    <row r="288" spans="2:10" ht="21.75" hidden="1" customHeight="1" x14ac:dyDescent="0.35">
      <c r="B288" s="21"/>
      <c r="C288" s="67"/>
      <c r="D288" s="57"/>
      <c r="E288" s="42"/>
      <c r="F288" s="165"/>
      <c r="G288" s="165"/>
      <c r="H288" s="166"/>
      <c r="I288" s="43"/>
      <c r="J288" s="44"/>
    </row>
    <row r="289" spans="2:10" ht="21.75" hidden="1" customHeight="1" x14ac:dyDescent="0.35">
      <c r="B289" s="21"/>
      <c r="C289" s="67"/>
      <c r="D289" s="57"/>
      <c r="E289" s="42"/>
      <c r="F289" s="165"/>
      <c r="G289" s="165"/>
      <c r="H289" s="166"/>
      <c r="I289" s="43"/>
      <c r="J289" s="44"/>
    </row>
    <row r="290" spans="2:10" ht="21.75" hidden="1" customHeight="1" x14ac:dyDescent="0.35">
      <c r="B290" s="21"/>
      <c r="C290" s="67"/>
      <c r="D290" s="57"/>
      <c r="E290" s="42"/>
      <c r="F290" s="165"/>
      <c r="G290" s="165"/>
      <c r="H290" s="166"/>
      <c r="I290" s="43"/>
      <c r="J290" s="44"/>
    </row>
    <row r="291" spans="2:10" ht="21.75" hidden="1" customHeight="1" x14ac:dyDescent="0.35">
      <c r="B291" s="21"/>
      <c r="C291" s="67"/>
      <c r="D291" s="57"/>
      <c r="E291" s="42"/>
      <c r="F291" s="165"/>
      <c r="G291" s="165"/>
      <c r="H291" s="166"/>
      <c r="I291" s="43"/>
      <c r="J291" s="44"/>
    </row>
    <row r="292" spans="2:10" ht="21.75" hidden="1" customHeight="1" x14ac:dyDescent="0.35">
      <c r="B292" s="21"/>
      <c r="C292" s="67"/>
      <c r="D292" s="57"/>
      <c r="E292" s="42"/>
      <c r="F292" s="165"/>
      <c r="G292" s="165"/>
      <c r="H292" s="166"/>
      <c r="I292" s="43"/>
      <c r="J292" s="44"/>
    </row>
    <row r="293" spans="2:10" ht="21.75" hidden="1" customHeight="1" x14ac:dyDescent="0.35">
      <c r="B293" s="21"/>
      <c r="C293" s="67"/>
      <c r="D293" s="57"/>
      <c r="E293" s="42"/>
      <c r="F293" s="165"/>
      <c r="G293" s="165"/>
      <c r="H293" s="166"/>
      <c r="I293" s="43"/>
      <c r="J293" s="44"/>
    </row>
    <row r="294" spans="2:10" ht="21.75" hidden="1" customHeight="1" x14ac:dyDescent="0.35">
      <c r="B294" s="21"/>
      <c r="C294" s="67"/>
      <c r="D294" s="57"/>
      <c r="E294" s="42"/>
      <c r="F294" s="165"/>
      <c r="G294" s="165"/>
      <c r="H294" s="166"/>
      <c r="I294" s="43"/>
      <c r="J294" s="44"/>
    </row>
    <row r="295" spans="2:10" ht="21.75" hidden="1" customHeight="1" x14ac:dyDescent="0.35">
      <c r="B295" s="21"/>
      <c r="C295" s="67"/>
      <c r="D295" s="57"/>
      <c r="E295" s="42"/>
      <c r="F295" s="165"/>
      <c r="G295" s="165"/>
      <c r="H295" s="166"/>
      <c r="I295" s="43"/>
      <c r="J295" s="44"/>
    </row>
    <row r="296" spans="2:10" ht="21.75" hidden="1" customHeight="1" x14ac:dyDescent="0.35">
      <c r="B296" s="21"/>
      <c r="C296" s="67"/>
      <c r="D296" s="57"/>
      <c r="E296" s="42"/>
      <c r="F296" s="165"/>
      <c r="G296" s="165"/>
      <c r="H296" s="166"/>
      <c r="I296" s="43"/>
      <c r="J296" s="44"/>
    </row>
    <row r="297" spans="2:10" ht="21.75" hidden="1" customHeight="1" x14ac:dyDescent="0.35">
      <c r="B297" s="21"/>
      <c r="C297" s="67"/>
      <c r="D297" s="57"/>
      <c r="E297" s="42"/>
      <c r="F297" s="165"/>
      <c r="G297" s="165"/>
      <c r="H297" s="166"/>
      <c r="I297" s="43"/>
      <c r="J297" s="44"/>
    </row>
    <row r="298" spans="2:10" ht="21.75" hidden="1" customHeight="1" x14ac:dyDescent="0.35">
      <c r="B298" s="21"/>
      <c r="C298" s="67"/>
      <c r="D298" s="57"/>
      <c r="E298" s="42"/>
      <c r="F298" s="165"/>
      <c r="G298" s="165"/>
      <c r="H298" s="166"/>
      <c r="I298" s="43"/>
      <c r="J298" s="44"/>
    </row>
    <row r="299" spans="2:10" ht="21.75" hidden="1" customHeight="1" x14ac:dyDescent="0.35">
      <c r="B299" s="21"/>
      <c r="C299" s="67"/>
      <c r="D299" s="57"/>
      <c r="E299" s="42"/>
      <c r="F299" s="165"/>
      <c r="G299" s="165"/>
      <c r="H299" s="166"/>
      <c r="I299" s="43"/>
      <c r="J299" s="44"/>
    </row>
    <row r="300" spans="2:10" ht="21.75" hidden="1" customHeight="1" x14ac:dyDescent="0.35">
      <c r="B300" s="21"/>
      <c r="C300" s="67"/>
      <c r="D300" s="57"/>
      <c r="E300" s="42"/>
      <c r="F300" s="165"/>
      <c r="G300" s="165"/>
      <c r="H300" s="166"/>
      <c r="I300" s="43"/>
      <c r="J300" s="44"/>
    </row>
    <row r="301" spans="2:10" ht="21.75" hidden="1" customHeight="1" x14ac:dyDescent="0.35">
      <c r="B301" s="21"/>
      <c r="C301" s="67"/>
      <c r="D301" s="57"/>
      <c r="E301" s="42"/>
      <c r="F301" s="165"/>
      <c r="G301" s="165"/>
      <c r="H301" s="166"/>
      <c r="I301" s="43"/>
      <c r="J301" s="44"/>
    </row>
    <row r="302" spans="2:10" ht="21.75" hidden="1" customHeight="1" x14ac:dyDescent="0.35">
      <c r="B302" s="21"/>
      <c r="C302" s="67"/>
      <c r="D302" s="57"/>
      <c r="E302" s="42"/>
      <c r="F302" s="165"/>
      <c r="G302" s="165"/>
      <c r="H302" s="166"/>
      <c r="I302" s="43"/>
      <c r="J302" s="44"/>
    </row>
    <row r="303" spans="2:10" ht="21.75" hidden="1" customHeight="1" x14ac:dyDescent="0.35">
      <c r="B303" s="21"/>
      <c r="C303" s="67"/>
      <c r="D303" s="57"/>
      <c r="E303" s="42"/>
      <c r="F303" s="165"/>
      <c r="G303" s="165"/>
      <c r="H303" s="166"/>
      <c r="I303" s="43"/>
      <c r="J303" s="44"/>
    </row>
    <row r="304" spans="2:10" ht="21.75" hidden="1" customHeight="1" x14ac:dyDescent="0.35">
      <c r="B304" s="21"/>
      <c r="C304" s="67"/>
      <c r="D304" s="57"/>
      <c r="E304" s="42"/>
      <c r="F304" s="165"/>
      <c r="G304" s="165"/>
      <c r="H304" s="166"/>
      <c r="I304" s="43"/>
      <c r="J304" s="44"/>
    </row>
    <row r="305" spans="2:10" ht="21.75" hidden="1" customHeight="1" x14ac:dyDescent="0.35">
      <c r="B305" s="21"/>
      <c r="C305" s="67"/>
      <c r="D305" s="57"/>
      <c r="E305" s="42"/>
      <c r="F305" s="165"/>
      <c r="G305" s="165"/>
      <c r="H305" s="166"/>
      <c r="I305" s="43"/>
      <c r="J305" s="44"/>
    </row>
    <row r="306" spans="2:10" ht="21.75" hidden="1" customHeight="1" x14ac:dyDescent="0.35">
      <c r="B306" s="21"/>
      <c r="C306" s="67"/>
      <c r="D306" s="57"/>
      <c r="E306" s="42"/>
      <c r="F306" s="165"/>
      <c r="G306" s="165"/>
      <c r="H306" s="166"/>
      <c r="I306" s="43"/>
      <c r="J306" s="44"/>
    </row>
    <row r="307" spans="2:10" ht="21.75" hidden="1" customHeight="1" x14ac:dyDescent="0.35">
      <c r="B307" s="21"/>
      <c r="C307" s="67"/>
      <c r="D307" s="57"/>
      <c r="E307" s="42"/>
      <c r="F307" s="165"/>
      <c r="G307" s="165"/>
      <c r="H307" s="166"/>
      <c r="I307" s="43"/>
      <c r="J307" s="44"/>
    </row>
    <row r="308" spans="2:10" ht="21.75" hidden="1" customHeight="1" x14ac:dyDescent="0.35">
      <c r="B308" s="21"/>
      <c r="C308" s="67"/>
      <c r="D308" s="57"/>
      <c r="E308" s="42"/>
      <c r="F308" s="165"/>
      <c r="G308" s="165"/>
      <c r="H308" s="166"/>
      <c r="I308" s="43"/>
      <c r="J308" s="44"/>
    </row>
    <row r="309" spans="2:10" ht="21.75" hidden="1" customHeight="1" x14ac:dyDescent="0.35">
      <c r="B309" s="21"/>
      <c r="C309" s="67"/>
      <c r="D309" s="57"/>
      <c r="E309" s="42"/>
      <c r="F309" s="165"/>
      <c r="G309" s="165"/>
      <c r="H309" s="166"/>
      <c r="I309" s="43"/>
      <c r="J309" s="44"/>
    </row>
    <row r="310" spans="2:10" ht="21.75" hidden="1" customHeight="1" x14ac:dyDescent="0.35">
      <c r="B310" s="21"/>
      <c r="C310" s="67"/>
      <c r="D310" s="57"/>
      <c r="E310" s="42"/>
      <c r="F310" s="165"/>
      <c r="G310" s="165"/>
      <c r="H310" s="166"/>
      <c r="I310" s="43"/>
      <c r="J310" s="44"/>
    </row>
    <row r="311" spans="2:10" ht="21.75" hidden="1" customHeight="1" x14ac:dyDescent="0.35">
      <c r="B311" s="21"/>
      <c r="C311" s="67"/>
      <c r="D311" s="57"/>
      <c r="E311" s="42"/>
      <c r="F311" s="165"/>
      <c r="G311" s="165"/>
      <c r="H311" s="166"/>
      <c r="I311" s="43"/>
      <c r="J311" s="44"/>
    </row>
    <row r="312" spans="2:10" ht="21.75" hidden="1" customHeight="1" x14ac:dyDescent="0.35">
      <c r="B312" s="21"/>
      <c r="C312" s="67"/>
      <c r="D312" s="57"/>
      <c r="E312" s="42"/>
      <c r="F312" s="165"/>
      <c r="G312" s="165"/>
      <c r="H312" s="166"/>
      <c r="I312" s="43"/>
      <c r="J312" s="44"/>
    </row>
    <row r="313" spans="2:10" ht="21.75" hidden="1" customHeight="1" x14ac:dyDescent="0.35">
      <c r="B313" s="21"/>
      <c r="C313" s="67"/>
      <c r="D313" s="57"/>
      <c r="E313" s="42"/>
      <c r="F313" s="165"/>
      <c r="G313" s="165"/>
      <c r="H313" s="166"/>
      <c r="I313" s="43"/>
      <c r="J313" s="44"/>
    </row>
    <row r="314" spans="2:10" ht="21.75" hidden="1" customHeight="1" x14ac:dyDescent="0.35">
      <c r="B314" s="21"/>
      <c r="C314" s="67"/>
      <c r="D314" s="57"/>
      <c r="E314" s="42"/>
      <c r="F314" s="165"/>
      <c r="G314" s="165"/>
      <c r="H314" s="166"/>
      <c r="I314" s="43"/>
      <c r="J314" s="44"/>
    </row>
    <row r="315" spans="2:10" ht="21.75" hidden="1" customHeight="1" x14ac:dyDescent="0.35">
      <c r="B315" s="21"/>
      <c r="C315" s="67"/>
      <c r="D315" s="57"/>
      <c r="E315" s="42"/>
      <c r="F315" s="165"/>
      <c r="G315" s="165"/>
      <c r="H315" s="166"/>
      <c r="I315" s="43"/>
      <c r="J315" s="44"/>
    </row>
    <row r="316" spans="2:10" ht="21.75" hidden="1" customHeight="1" x14ac:dyDescent="0.35">
      <c r="B316" s="21"/>
      <c r="C316" s="67"/>
      <c r="D316" s="57"/>
      <c r="E316" s="42"/>
      <c r="F316" s="165"/>
      <c r="G316" s="165"/>
      <c r="H316" s="166"/>
      <c r="I316" s="43"/>
      <c r="J316" s="44"/>
    </row>
    <row r="317" spans="2:10" ht="21.75" hidden="1" customHeight="1" x14ac:dyDescent="0.35">
      <c r="B317" s="21"/>
      <c r="C317" s="67"/>
      <c r="D317" s="57"/>
      <c r="E317" s="42"/>
      <c r="F317" s="165"/>
      <c r="G317" s="165"/>
      <c r="H317" s="166"/>
      <c r="I317" s="43"/>
      <c r="J317" s="44"/>
    </row>
    <row r="318" spans="2:10" ht="21.75" hidden="1" customHeight="1" x14ac:dyDescent="0.35">
      <c r="B318" s="21"/>
      <c r="C318" s="67"/>
      <c r="D318" s="57"/>
      <c r="E318" s="42"/>
      <c r="F318" s="165"/>
      <c r="G318" s="165"/>
      <c r="H318" s="166"/>
      <c r="I318" s="43"/>
      <c r="J318" s="44"/>
    </row>
    <row r="319" spans="2:10" ht="21.75" hidden="1" customHeight="1" x14ac:dyDescent="0.35">
      <c r="B319" s="21"/>
      <c r="C319" s="67"/>
      <c r="D319" s="57"/>
      <c r="E319" s="42"/>
      <c r="F319" s="165"/>
      <c r="G319" s="165"/>
      <c r="H319" s="166"/>
      <c r="I319" s="43"/>
      <c r="J319" s="44"/>
    </row>
    <row r="320" spans="2:10" ht="21.75" hidden="1" customHeight="1" x14ac:dyDescent="0.35">
      <c r="B320" s="21"/>
      <c r="C320" s="67"/>
      <c r="D320" s="57"/>
      <c r="E320" s="42"/>
      <c r="F320" s="165"/>
      <c r="G320" s="165"/>
      <c r="H320" s="166"/>
      <c r="I320" s="43"/>
      <c r="J320" s="44"/>
    </row>
    <row r="321" spans="2:10" ht="21.75" hidden="1" customHeight="1" x14ac:dyDescent="0.35">
      <c r="B321" s="21"/>
      <c r="C321" s="67"/>
      <c r="D321" s="57"/>
      <c r="E321" s="42"/>
      <c r="F321" s="165"/>
      <c r="G321" s="165"/>
      <c r="H321" s="166"/>
      <c r="I321" s="43"/>
      <c r="J321" s="44"/>
    </row>
    <row r="322" spans="2:10" ht="21.75" hidden="1" customHeight="1" x14ac:dyDescent="0.35">
      <c r="B322" s="21"/>
      <c r="C322" s="67"/>
      <c r="D322" s="57"/>
      <c r="E322" s="42"/>
      <c r="F322" s="165"/>
      <c r="G322" s="165"/>
      <c r="H322" s="166"/>
      <c r="I322" s="43"/>
      <c r="J322" s="44"/>
    </row>
    <row r="323" spans="2:10" ht="21.75" hidden="1" customHeight="1" x14ac:dyDescent="0.35">
      <c r="B323" s="21"/>
      <c r="C323" s="67"/>
      <c r="D323" s="57"/>
      <c r="E323" s="42"/>
      <c r="F323" s="165"/>
      <c r="G323" s="165"/>
      <c r="H323" s="166"/>
      <c r="I323" s="43"/>
      <c r="J323" s="44"/>
    </row>
    <row r="324" spans="2:10" ht="21.75" hidden="1" customHeight="1" x14ac:dyDescent="0.35">
      <c r="B324" s="21"/>
      <c r="C324" s="67"/>
      <c r="D324" s="57"/>
      <c r="E324" s="42"/>
      <c r="F324" s="165"/>
      <c r="G324" s="165"/>
      <c r="H324" s="166"/>
      <c r="I324" s="43"/>
      <c r="J324" s="44"/>
    </row>
    <row r="325" spans="2:10" ht="21.75" hidden="1" customHeight="1" x14ac:dyDescent="0.35">
      <c r="B325" s="21"/>
      <c r="C325" s="67"/>
      <c r="D325" s="57"/>
      <c r="E325" s="42"/>
      <c r="F325" s="165"/>
      <c r="G325" s="165"/>
      <c r="H325" s="166"/>
      <c r="I325" s="43"/>
      <c r="J325" s="44"/>
    </row>
    <row r="326" spans="2:10" ht="21.75" hidden="1" customHeight="1" x14ac:dyDescent="0.35">
      <c r="B326" s="21"/>
      <c r="C326" s="67"/>
      <c r="D326" s="57"/>
      <c r="E326" s="42"/>
      <c r="F326" s="165"/>
      <c r="G326" s="165"/>
      <c r="H326" s="166"/>
      <c r="I326" s="43"/>
      <c r="J326" s="44"/>
    </row>
    <row r="327" spans="2:10" ht="21.75" hidden="1" customHeight="1" x14ac:dyDescent="0.35">
      <c r="B327" s="21"/>
      <c r="C327" s="67"/>
      <c r="D327" s="57"/>
      <c r="E327" s="42"/>
      <c r="F327" s="165"/>
      <c r="G327" s="165"/>
      <c r="H327" s="166"/>
      <c r="I327" s="43"/>
      <c r="J327" s="44"/>
    </row>
    <row r="328" spans="2:10" ht="21.75" hidden="1" customHeight="1" x14ac:dyDescent="0.35">
      <c r="B328" s="21"/>
      <c r="C328" s="67"/>
      <c r="D328" s="57"/>
      <c r="E328" s="42"/>
      <c r="F328" s="165"/>
      <c r="G328" s="165"/>
      <c r="H328" s="166"/>
      <c r="I328" s="43"/>
      <c r="J328" s="44"/>
    </row>
    <row r="329" spans="2:10" ht="21.75" hidden="1" customHeight="1" x14ac:dyDescent="0.35">
      <c r="B329" s="21"/>
      <c r="C329" s="67"/>
      <c r="D329" s="57"/>
      <c r="E329" s="42"/>
      <c r="F329" s="165"/>
      <c r="G329" s="165"/>
      <c r="H329" s="166"/>
      <c r="I329" s="43"/>
      <c r="J329" s="44"/>
    </row>
    <row r="330" spans="2:10" ht="21.75" hidden="1" customHeight="1" x14ac:dyDescent="0.35">
      <c r="B330" s="21"/>
      <c r="C330" s="67"/>
      <c r="D330" s="57"/>
      <c r="E330" s="42"/>
      <c r="F330" s="165"/>
      <c r="G330" s="165"/>
      <c r="H330" s="166"/>
      <c r="I330" s="43"/>
      <c r="J330" s="44"/>
    </row>
    <row r="331" spans="2:10" ht="21.75" hidden="1" customHeight="1" x14ac:dyDescent="0.35">
      <c r="B331" s="21"/>
      <c r="C331" s="67"/>
      <c r="D331" s="57"/>
      <c r="E331" s="42"/>
      <c r="F331" s="165"/>
      <c r="G331" s="165"/>
      <c r="H331" s="166"/>
      <c r="I331" s="43"/>
      <c r="J331" s="44"/>
    </row>
    <row r="332" spans="2:10" ht="21.75" hidden="1" customHeight="1" x14ac:dyDescent="0.35">
      <c r="B332" s="21"/>
      <c r="C332" s="67"/>
      <c r="D332" s="57"/>
      <c r="E332" s="42"/>
      <c r="F332" s="165"/>
      <c r="G332" s="165"/>
      <c r="H332" s="166"/>
      <c r="I332" s="43"/>
      <c r="J332" s="44"/>
    </row>
    <row r="333" spans="2:10" ht="21.75" hidden="1" customHeight="1" x14ac:dyDescent="0.35">
      <c r="B333" s="21"/>
      <c r="C333" s="67"/>
      <c r="D333" s="57"/>
      <c r="E333" s="42"/>
      <c r="F333" s="165"/>
      <c r="G333" s="165"/>
      <c r="H333" s="166"/>
      <c r="I333" s="43"/>
      <c r="J333" s="44"/>
    </row>
    <row r="334" spans="2:10" ht="21.75" hidden="1" customHeight="1" x14ac:dyDescent="0.35">
      <c r="B334" s="21"/>
      <c r="C334" s="67"/>
      <c r="D334" s="57"/>
      <c r="E334" s="42"/>
      <c r="F334" s="165"/>
      <c r="G334" s="165"/>
      <c r="H334" s="166"/>
      <c r="I334" s="43"/>
      <c r="J334" s="44"/>
    </row>
    <row r="335" spans="2:10" ht="21.75" hidden="1" customHeight="1" x14ac:dyDescent="0.35">
      <c r="B335" s="21"/>
      <c r="C335" s="67"/>
      <c r="D335" s="57"/>
      <c r="E335" s="42"/>
      <c r="F335" s="165"/>
      <c r="G335" s="165"/>
      <c r="H335" s="166"/>
      <c r="I335" s="43"/>
      <c r="J335" s="44"/>
    </row>
    <row r="336" spans="2:10" ht="21.75" hidden="1" customHeight="1" x14ac:dyDescent="0.35">
      <c r="B336" s="21"/>
      <c r="C336" s="67"/>
      <c r="D336" s="57"/>
      <c r="E336" s="42"/>
      <c r="F336" s="165"/>
      <c r="G336" s="165"/>
      <c r="H336" s="166"/>
      <c r="I336" s="43"/>
      <c r="J336" s="44"/>
    </row>
    <row r="337" spans="2:10" ht="21.75" hidden="1" customHeight="1" x14ac:dyDescent="0.35">
      <c r="B337" s="21"/>
      <c r="C337" s="67"/>
      <c r="D337" s="57"/>
      <c r="E337" s="42"/>
      <c r="F337" s="165"/>
      <c r="G337" s="165"/>
      <c r="H337" s="166"/>
      <c r="I337" s="43"/>
      <c r="J337" s="44"/>
    </row>
    <row r="338" spans="2:10" ht="21.75" hidden="1" customHeight="1" x14ac:dyDescent="0.35">
      <c r="B338" s="21"/>
      <c r="C338" s="67"/>
      <c r="D338" s="57"/>
      <c r="E338" s="42"/>
      <c r="F338" s="165"/>
      <c r="G338" s="165"/>
      <c r="H338" s="166"/>
      <c r="I338" s="43"/>
      <c r="J338" s="44"/>
    </row>
    <row r="339" spans="2:10" ht="21.75" hidden="1" customHeight="1" x14ac:dyDescent="0.35">
      <c r="B339" s="21"/>
      <c r="C339" s="67"/>
      <c r="D339" s="57"/>
      <c r="E339" s="42"/>
      <c r="F339" s="165"/>
      <c r="G339" s="165"/>
      <c r="H339" s="166"/>
      <c r="I339" s="43"/>
      <c r="J339" s="44"/>
    </row>
    <row r="340" spans="2:10" ht="21.75" hidden="1" customHeight="1" x14ac:dyDescent="0.35">
      <c r="B340" s="21"/>
      <c r="C340" s="67"/>
      <c r="D340" s="57"/>
      <c r="E340" s="42"/>
      <c r="F340" s="165"/>
      <c r="G340" s="165"/>
      <c r="H340" s="166"/>
      <c r="I340" s="43"/>
      <c r="J340" s="44"/>
    </row>
    <row r="341" spans="2:10" ht="21.75" hidden="1" customHeight="1" x14ac:dyDescent="0.35">
      <c r="B341" s="21"/>
      <c r="C341" s="67"/>
      <c r="D341" s="57"/>
      <c r="E341" s="42"/>
      <c r="F341" s="165"/>
      <c r="G341" s="165"/>
      <c r="H341" s="166"/>
      <c r="I341" s="43"/>
      <c r="J341" s="44"/>
    </row>
    <row r="342" spans="2:10" ht="21.75" hidden="1" customHeight="1" x14ac:dyDescent="0.35">
      <c r="B342" s="21"/>
      <c r="C342" s="67"/>
      <c r="D342" s="57"/>
      <c r="E342" s="42"/>
      <c r="F342" s="165"/>
      <c r="G342" s="165"/>
      <c r="H342" s="166"/>
      <c r="I342" s="43"/>
      <c r="J342" s="44"/>
    </row>
    <row r="343" spans="2:10" ht="21.75" hidden="1" customHeight="1" x14ac:dyDescent="0.35">
      <c r="B343" s="21"/>
      <c r="C343" s="67"/>
      <c r="D343" s="57"/>
      <c r="E343" s="42"/>
      <c r="F343" s="165"/>
      <c r="G343" s="165"/>
      <c r="H343" s="166"/>
      <c r="I343" s="43"/>
      <c r="J343" s="44"/>
    </row>
    <row r="344" spans="2:10" ht="21.75" hidden="1" customHeight="1" x14ac:dyDescent="0.35">
      <c r="B344" s="21"/>
      <c r="C344" s="67"/>
      <c r="D344" s="57"/>
      <c r="E344" s="42"/>
      <c r="F344" s="165"/>
      <c r="G344" s="165"/>
      <c r="H344" s="166"/>
      <c r="I344" s="43"/>
      <c r="J344" s="44"/>
    </row>
    <row r="345" spans="2:10" ht="21.75" hidden="1" customHeight="1" x14ac:dyDescent="0.35">
      <c r="B345" s="21"/>
      <c r="C345" s="67"/>
      <c r="D345" s="57"/>
      <c r="E345" s="42"/>
      <c r="F345" s="165"/>
      <c r="G345" s="165"/>
      <c r="H345" s="166"/>
      <c r="I345" s="43"/>
      <c r="J345" s="44"/>
    </row>
    <row r="346" spans="2:10" ht="21.75" hidden="1" customHeight="1" x14ac:dyDescent="0.35">
      <c r="B346" s="21"/>
      <c r="C346" s="67"/>
      <c r="D346" s="57"/>
      <c r="E346" s="42"/>
      <c r="F346" s="165"/>
      <c r="G346" s="165"/>
      <c r="H346" s="166"/>
      <c r="I346" s="43"/>
      <c r="J346" s="44"/>
    </row>
    <row r="347" spans="2:10" ht="21.75" hidden="1" customHeight="1" x14ac:dyDescent="0.35">
      <c r="B347" s="21"/>
      <c r="C347" s="67"/>
      <c r="D347" s="57"/>
      <c r="E347" s="42"/>
      <c r="F347" s="165"/>
      <c r="G347" s="165"/>
      <c r="H347" s="166"/>
      <c r="I347" s="43"/>
      <c r="J347" s="44"/>
    </row>
    <row r="348" spans="2:10" ht="21.75" hidden="1" customHeight="1" x14ac:dyDescent="0.35">
      <c r="B348" s="21"/>
      <c r="C348" s="67"/>
      <c r="D348" s="57"/>
      <c r="E348" s="42"/>
      <c r="F348" s="165"/>
      <c r="G348" s="165"/>
      <c r="H348" s="166"/>
      <c r="I348" s="43"/>
      <c r="J348" s="44"/>
    </row>
    <row r="349" spans="2:10" ht="21.75" hidden="1" customHeight="1" x14ac:dyDescent="0.35">
      <c r="B349" s="21"/>
      <c r="C349" s="67"/>
      <c r="D349" s="57"/>
      <c r="E349" s="42"/>
      <c r="F349" s="165"/>
      <c r="G349" s="165"/>
      <c r="H349" s="166"/>
      <c r="I349" s="43"/>
      <c r="J349" s="44"/>
    </row>
    <row r="350" spans="2:10" ht="21.75" hidden="1" customHeight="1" x14ac:dyDescent="0.35">
      <c r="B350" s="21"/>
      <c r="C350" s="67"/>
      <c r="D350" s="57"/>
      <c r="E350" s="42"/>
      <c r="F350" s="165"/>
      <c r="G350" s="165"/>
      <c r="H350" s="166"/>
      <c r="I350" s="43"/>
      <c r="J350" s="44"/>
    </row>
    <row r="351" spans="2:10" ht="21.75" hidden="1" customHeight="1" x14ac:dyDescent="0.35">
      <c r="B351" s="21"/>
      <c r="C351" s="67"/>
      <c r="D351" s="57"/>
      <c r="E351" s="42"/>
      <c r="F351" s="165"/>
      <c r="G351" s="165"/>
      <c r="H351" s="166"/>
      <c r="I351" s="43"/>
      <c r="J351" s="44"/>
    </row>
    <row r="352" spans="2:10" ht="21.75" hidden="1" customHeight="1" x14ac:dyDescent="0.35">
      <c r="B352" s="21"/>
      <c r="C352" s="67"/>
      <c r="D352" s="57"/>
      <c r="E352" s="42"/>
      <c r="F352" s="165"/>
      <c r="G352" s="165"/>
      <c r="H352" s="166"/>
      <c r="I352" s="43"/>
      <c r="J352" s="44"/>
    </row>
    <row r="353" spans="2:10" ht="21.75" hidden="1" customHeight="1" x14ac:dyDescent="0.35">
      <c r="B353" s="21"/>
      <c r="C353" s="67"/>
      <c r="D353" s="57"/>
      <c r="E353" s="42"/>
      <c r="F353" s="165"/>
      <c r="G353" s="165"/>
      <c r="H353" s="166"/>
      <c r="I353" s="43"/>
      <c r="J353" s="44"/>
    </row>
    <row r="354" spans="2:10" ht="21.75" hidden="1" customHeight="1" x14ac:dyDescent="0.35">
      <c r="B354" s="21"/>
      <c r="C354" s="67"/>
      <c r="D354" s="57"/>
      <c r="E354" s="42"/>
      <c r="F354" s="165"/>
      <c r="G354" s="165"/>
      <c r="H354" s="166"/>
      <c r="I354" s="43"/>
      <c r="J354" s="44"/>
    </row>
    <row r="355" spans="2:10" ht="21.75" hidden="1" customHeight="1" x14ac:dyDescent="0.35">
      <c r="B355" s="21"/>
      <c r="C355" s="67"/>
      <c r="D355" s="57"/>
      <c r="E355" s="42"/>
      <c r="F355" s="165"/>
      <c r="G355" s="165"/>
      <c r="H355" s="166"/>
      <c r="I355" s="43"/>
      <c r="J355" s="44"/>
    </row>
    <row r="356" spans="2:10" ht="21.75" hidden="1" customHeight="1" x14ac:dyDescent="0.35">
      <c r="B356" s="21"/>
      <c r="C356" s="67"/>
      <c r="D356" s="57"/>
      <c r="E356" s="42"/>
      <c r="F356" s="165"/>
      <c r="G356" s="165"/>
      <c r="H356" s="166"/>
      <c r="I356" s="43"/>
      <c r="J356" s="44"/>
    </row>
    <row r="357" spans="2:10" ht="21.75" hidden="1" customHeight="1" x14ac:dyDescent="0.35">
      <c r="B357" s="21"/>
      <c r="C357" s="67"/>
      <c r="D357" s="57"/>
      <c r="E357" s="42"/>
      <c r="F357" s="165"/>
      <c r="G357" s="165"/>
      <c r="H357" s="166"/>
      <c r="I357" s="43"/>
      <c r="J357" s="44"/>
    </row>
    <row r="358" spans="2:10" ht="21.75" hidden="1" customHeight="1" x14ac:dyDescent="0.35">
      <c r="B358" s="21"/>
      <c r="C358" s="67"/>
      <c r="D358" s="57"/>
      <c r="E358" s="42"/>
      <c r="F358" s="165"/>
      <c r="G358" s="165"/>
      <c r="H358" s="166"/>
      <c r="I358" s="43"/>
      <c r="J358" s="44"/>
    </row>
    <row r="359" spans="2:10" ht="21.75" hidden="1" customHeight="1" x14ac:dyDescent="0.35">
      <c r="B359" s="21"/>
      <c r="C359" s="67"/>
      <c r="D359" s="57"/>
      <c r="E359" s="42"/>
      <c r="F359" s="165"/>
      <c r="G359" s="165"/>
      <c r="H359" s="166"/>
      <c r="I359" s="43"/>
      <c r="J359" s="44"/>
    </row>
    <row r="360" spans="2:10" ht="21.75" hidden="1" customHeight="1" x14ac:dyDescent="0.35">
      <c r="B360" s="21"/>
      <c r="C360" s="67"/>
      <c r="D360" s="57"/>
      <c r="E360" s="42"/>
      <c r="F360" s="165"/>
      <c r="G360" s="165"/>
      <c r="H360" s="166"/>
      <c r="I360" s="43"/>
      <c r="J360" s="44"/>
    </row>
    <row r="361" spans="2:10" ht="21.75" hidden="1" customHeight="1" x14ac:dyDescent="0.35">
      <c r="B361" s="21"/>
      <c r="C361" s="67"/>
      <c r="D361" s="57"/>
      <c r="E361" s="42"/>
      <c r="F361" s="165"/>
      <c r="G361" s="165"/>
      <c r="H361" s="166"/>
      <c r="I361" s="43"/>
      <c r="J361" s="44"/>
    </row>
    <row r="362" spans="2:10" ht="21.75" hidden="1" customHeight="1" x14ac:dyDescent="0.35">
      <c r="B362" s="21"/>
      <c r="C362" s="67"/>
      <c r="D362" s="57"/>
      <c r="E362" s="42"/>
      <c r="F362" s="165"/>
      <c r="G362" s="165"/>
      <c r="H362" s="166"/>
      <c r="I362" s="43"/>
      <c r="J362" s="44"/>
    </row>
    <row r="363" spans="2:10" ht="21.75" hidden="1" customHeight="1" x14ac:dyDescent="0.35">
      <c r="B363" s="21"/>
      <c r="C363" s="67"/>
      <c r="D363" s="57"/>
      <c r="E363" s="42"/>
      <c r="F363" s="165"/>
      <c r="G363" s="165"/>
      <c r="H363" s="166"/>
      <c r="I363" s="43"/>
      <c r="J363" s="44"/>
    </row>
    <row r="364" spans="2:10" ht="21.75" hidden="1" customHeight="1" x14ac:dyDescent="0.35">
      <c r="B364" s="21"/>
      <c r="C364" s="67"/>
      <c r="D364" s="57"/>
      <c r="E364" s="42"/>
      <c r="F364" s="165"/>
      <c r="G364" s="165"/>
      <c r="H364" s="166"/>
      <c r="I364" s="43"/>
      <c r="J364" s="44"/>
    </row>
    <row r="365" spans="2:10" ht="21.75" hidden="1" customHeight="1" x14ac:dyDescent="0.35">
      <c r="B365" s="21"/>
      <c r="C365" s="67"/>
      <c r="D365" s="57"/>
      <c r="E365" s="42"/>
      <c r="F365" s="165"/>
      <c r="G365" s="165"/>
      <c r="H365" s="166"/>
      <c r="I365" s="43"/>
      <c r="J365" s="44"/>
    </row>
    <row r="366" spans="2:10" ht="21.75" hidden="1" customHeight="1" x14ac:dyDescent="0.35">
      <c r="B366" s="21"/>
      <c r="C366" s="67"/>
      <c r="D366" s="57"/>
      <c r="E366" s="42"/>
      <c r="F366" s="165"/>
      <c r="G366" s="165"/>
      <c r="H366" s="166"/>
      <c r="I366" s="43"/>
      <c r="J366" s="44"/>
    </row>
    <row r="367" spans="2:10" ht="21.75" hidden="1" customHeight="1" x14ac:dyDescent="0.35">
      <c r="B367" s="21"/>
      <c r="C367" s="67"/>
      <c r="D367" s="57"/>
      <c r="E367" s="42"/>
      <c r="F367" s="165"/>
      <c r="G367" s="165"/>
      <c r="H367" s="166"/>
      <c r="I367" s="43"/>
      <c r="J367" s="44"/>
    </row>
    <row r="368" spans="2:10" ht="21.75" hidden="1" customHeight="1" x14ac:dyDescent="0.35">
      <c r="B368" s="21"/>
      <c r="C368" s="67"/>
      <c r="D368" s="57"/>
      <c r="E368" s="42"/>
      <c r="F368" s="165"/>
      <c r="G368" s="165"/>
      <c r="H368" s="166"/>
      <c r="I368" s="43"/>
      <c r="J368" s="44"/>
    </row>
    <row r="369" spans="2:10" ht="21.75" hidden="1" customHeight="1" x14ac:dyDescent="0.35">
      <c r="B369" s="21"/>
      <c r="C369" s="67"/>
      <c r="D369" s="57"/>
      <c r="E369" s="42"/>
      <c r="F369" s="165"/>
      <c r="G369" s="165"/>
      <c r="H369" s="166"/>
      <c r="I369" s="43"/>
      <c r="J369" s="44"/>
    </row>
    <row r="370" spans="2:10" ht="21.75" hidden="1" customHeight="1" x14ac:dyDescent="0.35">
      <c r="B370" s="21"/>
      <c r="C370" s="67"/>
      <c r="D370" s="57"/>
      <c r="E370" s="42"/>
      <c r="F370" s="165"/>
      <c r="G370" s="165"/>
      <c r="H370" s="166"/>
      <c r="I370" s="43"/>
      <c r="J370" s="44"/>
    </row>
    <row r="371" spans="2:10" ht="21.75" hidden="1" customHeight="1" x14ac:dyDescent="0.35">
      <c r="B371" s="21"/>
      <c r="C371" s="67"/>
      <c r="D371" s="57"/>
      <c r="E371" s="42"/>
      <c r="F371" s="165"/>
      <c r="G371" s="165"/>
      <c r="H371" s="166"/>
      <c r="I371" s="43"/>
      <c r="J371" s="44"/>
    </row>
    <row r="372" spans="2:10" ht="21.75" hidden="1" customHeight="1" x14ac:dyDescent="0.35">
      <c r="B372" s="21"/>
      <c r="C372" s="67"/>
      <c r="D372" s="57"/>
      <c r="E372" s="42"/>
      <c r="F372" s="165"/>
      <c r="G372" s="165"/>
      <c r="H372" s="166"/>
      <c r="I372" s="43"/>
      <c r="J372" s="44"/>
    </row>
    <row r="373" spans="2:10" ht="21.75" hidden="1" customHeight="1" x14ac:dyDescent="0.35">
      <c r="B373" s="21"/>
      <c r="C373" s="67"/>
      <c r="D373" s="57"/>
      <c r="E373" s="42"/>
      <c r="F373" s="165"/>
      <c r="G373" s="165"/>
      <c r="H373" s="166"/>
      <c r="I373" s="43"/>
      <c r="J373" s="44"/>
    </row>
    <row r="374" spans="2:10" ht="21.75" hidden="1" customHeight="1" x14ac:dyDescent="0.35">
      <c r="B374" s="21"/>
      <c r="C374" s="67"/>
      <c r="D374" s="57"/>
      <c r="E374" s="42"/>
      <c r="F374" s="165"/>
      <c r="G374" s="165"/>
      <c r="H374" s="166"/>
      <c r="I374" s="43"/>
      <c r="J374" s="44"/>
    </row>
    <row r="375" spans="2:10" ht="21.75" hidden="1" customHeight="1" x14ac:dyDescent="0.35">
      <c r="B375" s="21"/>
      <c r="C375" s="67"/>
      <c r="D375" s="57"/>
      <c r="E375" s="42"/>
      <c r="F375" s="165"/>
      <c r="G375" s="165"/>
      <c r="H375" s="166"/>
      <c r="I375" s="43"/>
      <c r="J375" s="44"/>
    </row>
    <row r="376" spans="2:10" ht="21.75" hidden="1" customHeight="1" x14ac:dyDescent="0.35">
      <c r="B376" s="21"/>
      <c r="C376" s="67"/>
      <c r="D376" s="57"/>
      <c r="E376" s="42"/>
      <c r="F376" s="165"/>
      <c r="G376" s="165"/>
      <c r="H376" s="166"/>
      <c r="I376" s="43"/>
      <c r="J376" s="44"/>
    </row>
    <row r="377" spans="2:10" ht="21.75" hidden="1" customHeight="1" x14ac:dyDescent="0.35">
      <c r="B377" s="21"/>
      <c r="C377" s="67"/>
      <c r="D377" s="57"/>
      <c r="E377" s="42"/>
      <c r="F377" s="165"/>
      <c r="G377" s="165"/>
      <c r="H377" s="166"/>
      <c r="I377" s="43"/>
      <c r="J377" s="44"/>
    </row>
    <row r="378" spans="2:10" ht="21.75" hidden="1" customHeight="1" x14ac:dyDescent="0.35">
      <c r="B378" s="21"/>
      <c r="C378" s="67"/>
      <c r="D378" s="57"/>
      <c r="E378" s="42"/>
      <c r="F378" s="165"/>
      <c r="G378" s="165"/>
      <c r="H378" s="166"/>
      <c r="I378" s="43"/>
      <c r="J378" s="44"/>
    </row>
    <row r="379" spans="2:10" ht="21.75" hidden="1" customHeight="1" x14ac:dyDescent="0.35">
      <c r="B379" s="21"/>
      <c r="C379" s="67"/>
      <c r="D379" s="57"/>
      <c r="E379" s="42"/>
      <c r="F379" s="165"/>
      <c r="G379" s="165"/>
      <c r="H379" s="166"/>
      <c r="I379" s="43"/>
      <c r="J379" s="44"/>
    </row>
    <row r="380" spans="2:10" ht="21.75" hidden="1" customHeight="1" x14ac:dyDescent="0.35">
      <c r="B380" s="21"/>
      <c r="C380" s="67"/>
      <c r="D380" s="57"/>
      <c r="E380" s="42"/>
      <c r="F380" s="165"/>
      <c r="G380" s="165"/>
      <c r="H380" s="166"/>
      <c r="I380" s="43"/>
      <c r="J380" s="44"/>
    </row>
    <row r="381" spans="2:10" ht="21.75" hidden="1" customHeight="1" x14ac:dyDescent="0.35">
      <c r="B381" s="21"/>
      <c r="C381" s="67"/>
      <c r="D381" s="57"/>
      <c r="E381" s="42"/>
      <c r="F381" s="165"/>
      <c r="G381" s="165"/>
      <c r="H381" s="166"/>
      <c r="I381" s="43"/>
      <c r="J381" s="44"/>
    </row>
    <row r="382" spans="2:10" ht="21.75" hidden="1" customHeight="1" x14ac:dyDescent="0.35">
      <c r="B382" s="21"/>
      <c r="C382" s="67"/>
      <c r="D382" s="57"/>
      <c r="E382" s="42"/>
      <c r="F382" s="165"/>
      <c r="G382" s="165"/>
      <c r="H382" s="166"/>
      <c r="I382" s="43"/>
      <c r="J382" s="44"/>
    </row>
    <row r="383" spans="2:10" ht="21.75" hidden="1" customHeight="1" x14ac:dyDescent="0.35">
      <c r="B383" s="21"/>
      <c r="C383" s="67"/>
      <c r="D383" s="57"/>
      <c r="E383" s="42"/>
      <c r="F383" s="165"/>
      <c r="G383" s="165"/>
      <c r="H383" s="166"/>
      <c r="I383" s="43"/>
      <c r="J383" s="44"/>
    </row>
    <row r="384" spans="2:10" ht="21.75" hidden="1" customHeight="1" x14ac:dyDescent="0.35">
      <c r="B384" s="21"/>
      <c r="C384" s="67"/>
      <c r="D384" s="57"/>
      <c r="E384" s="42"/>
      <c r="F384" s="165"/>
      <c r="G384" s="165"/>
      <c r="H384" s="166"/>
      <c r="I384" s="43"/>
      <c r="J384" s="44"/>
    </row>
    <row r="385" spans="2:10" ht="21.75" hidden="1" customHeight="1" x14ac:dyDescent="0.35">
      <c r="B385" s="21"/>
      <c r="C385" s="67"/>
      <c r="D385" s="57"/>
      <c r="E385" s="42"/>
      <c r="F385" s="165"/>
      <c r="G385" s="165"/>
      <c r="H385" s="166"/>
      <c r="I385" s="43"/>
      <c r="J385" s="44"/>
    </row>
    <row r="386" spans="2:10" ht="21.75" hidden="1" customHeight="1" x14ac:dyDescent="0.35">
      <c r="B386" s="21"/>
      <c r="C386" s="67"/>
      <c r="D386" s="57"/>
      <c r="E386" s="42"/>
      <c r="F386" s="165"/>
      <c r="G386" s="165"/>
      <c r="H386" s="166"/>
      <c r="I386" s="43"/>
      <c r="J386" s="44"/>
    </row>
    <row r="387" spans="2:10" ht="21.75" hidden="1" customHeight="1" x14ac:dyDescent="0.35">
      <c r="B387" s="21"/>
      <c r="C387" s="67"/>
      <c r="D387" s="57"/>
      <c r="E387" s="42"/>
      <c r="F387" s="165"/>
      <c r="G387" s="165"/>
      <c r="H387" s="166"/>
      <c r="I387" s="43"/>
      <c r="J387" s="44"/>
    </row>
    <row r="388" spans="2:10" ht="21.75" hidden="1" customHeight="1" x14ac:dyDescent="0.35">
      <c r="B388" s="21"/>
      <c r="C388" s="67"/>
      <c r="D388" s="57"/>
      <c r="E388" s="42"/>
      <c r="F388" s="165"/>
      <c r="G388" s="165"/>
      <c r="H388" s="166"/>
      <c r="I388" s="43"/>
      <c r="J388" s="44"/>
    </row>
    <row r="389" spans="2:10" ht="21.75" hidden="1" customHeight="1" x14ac:dyDescent="0.35">
      <c r="B389" s="21"/>
      <c r="C389" s="67"/>
      <c r="D389" s="57"/>
      <c r="E389" s="42"/>
      <c r="F389" s="165"/>
      <c r="G389" s="165"/>
      <c r="H389" s="166"/>
      <c r="I389" s="43"/>
      <c r="J389" s="44"/>
    </row>
    <row r="390" spans="2:10" ht="21.75" hidden="1" customHeight="1" x14ac:dyDescent="0.35">
      <c r="B390" s="21"/>
      <c r="C390" s="67"/>
      <c r="D390" s="57"/>
      <c r="E390" s="42"/>
      <c r="F390" s="165"/>
      <c r="G390" s="165"/>
      <c r="H390" s="166"/>
      <c r="I390" s="43"/>
      <c r="J390" s="44"/>
    </row>
    <row r="391" spans="2:10" ht="21.75" hidden="1" customHeight="1" x14ac:dyDescent="0.35">
      <c r="B391" s="21"/>
      <c r="C391" s="67"/>
      <c r="D391" s="57"/>
      <c r="E391" s="42"/>
      <c r="F391" s="165"/>
      <c r="G391" s="165"/>
      <c r="H391" s="166"/>
      <c r="I391" s="43"/>
      <c r="J391" s="44"/>
    </row>
    <row r="392" spans="2:10" ht="21.75" hidden="1" customHeight="1" x14ac:dyDescent="0.35">
      <c r="B392" s="21"/>
      <c r="C392" s="67"/>
      <c r="D392" s="57"/>
      <c r="E392" s="42"/>
      <c r="F392" s="165"/>
      <c r="G392" s="165"/>
      <c r="H392" s="166"/>
      <c r="I392" s="43"/>
      <c r="J392" s="44"/>
    </row>
    <row r="393" spans="2:10" ht="21.75" hidden="1" customHeight="1" x14ac:dyDescent="0.35">
      <c r="B393" s="21"/>
      <c r="C393" s="67"/>
      <c r="D393" s="57"/>
      <c r="E393" s="42"/>
      <c r="F393" s="165"/>
      <c r="G393" s="165"/>
      <c r="H393" s="166"/>
      <c r="I393" s="43"/>
      <c r="J393" s="44"/>
    </row>
    <row r="394" spans="2:10" ht="21.75" hidden="1" customHeight="1" x14ac:dyDescent="0.35">
      <c r="B394" s="21"/>
      <c r="C394" s="67"/>
      <c r="D394" s="57"/>
      <c r="E394" s="42"/>
      <c r="F394" s="165"/>
      <c r="G394" s="165"/>
      <c r="H394" s="166"/>
      <c r="I394" s="43"/>
      <c r="J394" s="44"/>
    </row>
    <row r="395" spans="2:10" ht="21.75" hidden="1" customHeight="1" x14ac:dyDescent="0.35">
      <c r="B395" s="21"/>
      <c r="C395" s="67"/>
      <c r="D395" s="57"/>
      <c r="E395" s="42"/>
      <c r="F395" s="165"/>
      <c r="G395" s="165"/>
      <c r="H395" s="166"/>
      <c r="I395" s="43"/>
      <c r="J395" s="44"/>
    </row>
    <row r="396" spans="2:10" ht="21.75" hidden="1" customHeight="1" x14ac:dyDescent="0.35">
      <c r="B396" s="21"/>
      <c r="C396" s="67"/>
      <c r="D396" s="57"/>
      <c r="E396" s="42"/>
      <c r="F396" s="165"/>
      <c r="G396" s="165"/>
      <c r="H396" s="166"/>
      <c r="I396" s="43"/>
      <c r="J396" s="44"/>
    </row>
    <row r="397" spans="2:10" ht="21.75" hidden="1" customHeight="1" x14ac:dyDescent="0.35">
      <c r="B397" s="21"/>
      <c r="C397" s="67"/>
      <c r="D397" s="57"/>
      <c r="E397" s="42"/>
      <c r="F397" s="165"/>
      <c r="G397" s="165"/>
      <c r="H397" s="166"/>
      <c r="I397" s="43"/>
      <c r="J397" s="44"/>
    </row>
    <row r="398" spans="2:10" ht="21.75" hidden="1" customHeight="1" x14ac:dyDescent="0.35">
      <c r="B398" s="21"/>
      <c r="C398" s="67"/>
      <c r="D398" s="57"/>
      <c r="E398" s="42"/>
      <c r="F398" s="165"/>
      <c r="G398" s="165"/>
      <c r="H398" s="166"/>
      <c r="I398" s="43"/>
      <c r="J398" s="44"/>
    </row>
    <row r="399" spans="2:10" ht="21.75" hidden="1" customHeight="1" x14ac:dyDescent="0.35">
      <c r="B399" s="21"/>
      <c r="C399" s="67"/>
      <c r="D399" s="57"/>
      <c r="E399" s="42"/>
      <c r="F399" s="165"/>
      <c r="G399" s="165"/>
      <c r="H399" s="166"/>
      <c r="I399" s="43"/>
      <c r="J399" s="44"/>
    </row>
    <row r="400" spans="2:10" ht="21.75" hidden="1" customHeight="1" x14ac:dyDescent="0.35">
      <c r="B400" s="21"/>
      <c r="C400" s="67"/>
      <c r="D400" s="57"/>
      <c r="E400" s="42"/>
      <c r="F400" s="165"/>
      <c r="G400" s="165"/>
      <c r="H400" s="166"/>
      <c r="I400" s="43"/>
      <c r="J400" s="44"/>
    </row>
    <row r="401" spans="2:19" ht="21.75" hidden="1" customHeight="1" x14ac:dyDescent="0.35">
      <c r="B401" s="21"/>
      <c r="C401" s="67"/>
      <c r="D401" s="57"/>
      <c r="E401" s="42"/>
      <c r="F401" s="165"/>
      <c r="G401" s="165"/>
      <c r="H401" s="166"/>
      <c r="I401" s="43"/>
      <c r="J401" s="44"/>
    </row>
    <row r="402" spans="2:19" ht="21.75" hidden="1" customHeight="1" x14ac:dyDescent="0.35">
      <c r="B402" s="21"/>
      <c r="C402" s="67"/>
      <c r="D402" s="57"/>
      <c r="E402" s="42"/>
      <c r="F402" s="165"/>
      <c r="G402" s="165"/>
      <c r="H402" s="166"/>
      <c r="I402" s="43"/>
      <c r="J402" s="44"/>
    </row>
    <row r="403" spans="2:19" ht="21.75" hidden="1" customHeight="1" x14ac:dyDescent="0.35">
      <c r="B403" s="21"/>
      <c r="C403" s="67"/>
      <c r="D403" s="57"/>
      <c r="E403" s="42"/>
      <c r="F403" s="165"/>
      <c r="G403" s="165"/>
      <c r="H403" s="166"/>
      <c r="I403" s="43"/>
      <c r="J403" s="44"/>
    </row>
    <row r="404" spans="2:19" ht="21.75" hidden="1" customHeight="1" x14ac:dyDescent="0.35">
      <c r="B404" s="21"/>
      <c r="C404" s="67"/>
      <c r="D404" s="57"/>
      <c r="E404" s="42"/>
      <c r="F404" s="165"/>
      <c r="G404" s="165"/>
      <c r="H404" s="166"/>
      <c r="I404" s="43"/>
      <c r="J404" s="44"/>
    </row>
    <row r="405" spans="2:19" ht="21.75" hidden="1" customHeight="1" x14ac:dyDescent="0.35">
      <c r="B405" s="21"/>
      <c r="C405" s="67"/>
      <c r="D405" s="57"/>
      <c r="E405" s="42"/>
      <c r="F405" s="165"/>
      <c r="G405" s="165"/>
      <c r="H405" s="166"/>
      <c r="I405" s="43"/>
      <c r="J405" s="44"/>
    </row>
    <row r="406" spans="2:19" ht="21.75" hidden="1" customHeight="1" x14ac:dyDescent="0.35">
      <c r="B406" s="21"/>
      <c r="D406" s="1"/>
      <c r="F406" s="1"/>
      <c r="G406" s="1"/>
    </row>
    <row r="407" spans="2:19" s="20" customFormat="1" ht="21.75" hidden="1" customHeight="1" x14ac:dyDescent="0.25">
      <c r="B407" s="21"/>
    </row>
    <row r="408" spans="2:19" s="20" customFormat="1" ht="21.75" hidden="1" customHeight="1" x14ac:dyDescent="0.25">
      <c r="B408" s="21"/>
    </row>
    <row r="409" spans="2:19" s="20" customFormat="1" ht="21.75" hidden="1" customHeight="1" x14ac:dyDescent="0.25">
      <c r="B409" s="21"/>
    </row>
    <row r="410" spans="2:19" s="20" customFormat="1" ht="21.75" hidden="1" customHeight="1" x14ac:dyDescent="0.25">
      <c r="B410" s="21"/>
      <c r="K410" s="29"/>
    </row>
    <row r="411" spans="2:19" s="20" customFormat="1" ht="21.75" hidden="1" customHeight="1" x14ac:dyDescent="0.25">
      <c r="B411" s="21"/>
    </row>
    <row r="412" spans="2:19" s="20" customFormat="1" ht="21.75" hidden="1" customHeight="1" x14ac:dyDescent="0.25">
      <c r="B412" s="21"/>
    </row>
    <row r="413" spans="2:19" s="20" customFormat="1" ht="21.75" hidden="1" customHeight="1" x14ac:dyDescent="0.25">
      <c r="B413" s="21"/>
      <c r="L413" s="356"/>
      <c r="M413" s="356"/>
      <c r="N413" s="356"/>
      <c r="O413" s="356"/>
      <c r="P413" s="356"/>
      <c r="Q413" s="356"/>
      <c r="R413" s="356"/>
      <c r="S413" s="87"/>
    </row>
    <row r="414" spans="2:19" s="20" customFormat="1" ht="21.75" hidden="1" customHeight="1" x14ac:dyDescent="0.25">
      <c r="B414" s="21"/>
    </row>
    <row r="415" spans="2:19" s="20" customFormat="1" ht="21.75" hidden="1" customHeight="1" x14ac:dyDescent="0.25">
      <c r="B415" s="21"/>
    </row>
    <row r="416" spans="2:19" s="20" customFormat="1" ht="21.75" hidden="1" customHeight="1" x14ac:dyDescent="0.25">
      <c r="B416" s="21"/>
    </row>
    <row r="417" spans="1:12" s="20" customFormat="1" ht="21.75" hidden="1" customHeight="1" x14ac:dyDescent="0.25">
      <c r="B417" s="21"/>
    </row>
    <row r="418" spans="1:12" ht="21.75" hidden="1" customHeight="1" x14ac:dyDescent="0.35">
      <c r="B418" s="21"/>
    </row>
    <row r="419" spans="1:12" s="20" customFormat="1" ht="21.75" hidden="1" customHeight="1" x14ac:dyDescent="0.25">
      <c r="B419" s="21"/>
    </row>
    <row r="420" spans="1:12" s="20" customFormat="1" ht="21.75" hidden="1" customHeight="1" x14ac:dyDescent="0.25">
      <c r="B420" s="21"/>
    </row>
    <row r="421" spans="1:12" s="20" customFormat="1" ht="21.75" hidden="1" customHeight="1" x14ac:dyDescent="0.25">
      <c r="B421" s="21"/>
    </row>
    <row r="422" spans="1:12" s="29" customFormat="1" ht="21.75" hidden="1" customHeight="1" x14ac:dyDescent="0.25">
      <c r="A422" s="25"/>
      <c r="B422" s="21"/>
      <c r="K422" s="39"/>
      <c r="L422" s="40"/>
    </row>
    <row r="423" spans="1:12" s="20" customFormat="1" ht="21.75" hidden="1" customHeight="1" x14ac:dyDescent="0.25">
      <c r="A423" s="18"/>
      <c r="B423" s="21"/>
      <c r="C423" s="67"/>
      <c r="D423" s="57"/>
      <c r="E423" s="42"/>
      <c r="F423" s="165"/>
      <c r="G423" s="165"/>
      <c r="H423" s="166"/>
      <c r="I423" s="43"/>
      <c r="J423" s="44"/>
      <c r="K423" s="39"/>
      <c r="L423" s="40"/>
    </row>
    <row r="424" spans="1:12" ht="21.75" hidden="1" customHeight="1" x14ac:dyDescent="0.35">
      <c r="B424" s="21"/>
    </row>
    <row r="425" spans="1:12" s="20" customFormat="1" ht="21.75" hidden="1" customHeight="1" x14ac:dyDescent="0.35">
      <c r="A425" s="1"/>
      <c r="B425" s="21"/>
      <c r="K425" s="39"/>
      <c r="L425" s="40"/>
    </row>
    <row r="426" spans="1:12" s="20" customFormat="1" ht="21.75" hidden="1" customHeight="1" x14ac:dyDescent="0.35">
      <c r="A426" s="1"/>
      <c r="B426" s="21"/>
      <c r="K426" s="39"/>
      <c r="L426" s="40"/>
    </row>
    <row r="427" spans="1:12" s="20" customFormat="1" ht="21.75" hidden="1" customHeight="1" x14ac:dyDescent="0.35">
      <c r="A427" s="1"/>
      <c r="B427" s="21"/>
      <c r="K427" s="39"/>
      <c r="L427" s="40"/>
    </row>
    <row r="428" spans="1:12" s="20" customFormat="1" ht="21.75" hidden="1" customHeight="1" x14ac:dyDescent="0.35">
      <c r="A428" s="1"/>
      <c r="B428" s="21"/>
      <c r="K428" s="39"/>
      <c r="L428" s="40"/>
    </row>
    <row r="429" spans="1:12" s="20" customFormat="1" ht="21.75" hidden="1" customHeight="1" x14ac:dyDescent="0.35">
      <c r="A429" s="1"/>
      <c r="B429" s="21"/>
      <c r="K429" s="39"/>
      <c r="L429" s="40"/>
    </row>
    <row r="430" spans="1:12" s="20" customFormat="1" ht="21.75" hidden="1" customHeight="1" x14ac:dyDescent="0.35">
      <c r="A430" s="1"/>
      <c r="B430" s="21"/>
      <c r="K430" s="39"/>
      <c r="L430" s="40"/>
    </row>
    <row r="431" spans="1:12" s="20" customFormat="1" ht="21.75" hidden="1" customHeight="1" x14ac:dyDescent="0.35">
      <c r="A431" s="1"/>
      <c r="B431" s="21"/>
      <c r="K431" s="39"/>
      <c r="L431" s="40"/>
    </row>
    <row r="432" spans="1:12" s="20" customFormat="1" ht="21.75" hidden="1" customHeight="1" x14ac:dyDescent="0.35">
      <c r="A432" s="1"/>
      <c r="B432" s="21"/>
      <c r="K432" s="39"/>
      <c r="L432" s="40"/>
    </row>
    <row r="433" spans="1:12" s="20" customFormat="1" ht="21.75" hidden="1" customHeight="1" x14ac:dyDescent="0.35">
      <c r="A433" s="1"/>
      <c r="B433" s="21"/>
      <c r="K433" s="39"/>
      <c r="L433" s="40"/>
    </row>
    <row r="434" spans="1:12" s="20" customFormat="1" ht="21.75" hidden="1" customHeight="1" x14ac:dyDescent="0.35">
      <c r="A434" s="1"/>
      <c r="B434" s="21"/>
      <c r="K434" s="39"/>
      <c r="L434" s="40"/>
    </row>
    <row r="435" spans="1:12" s="20" customFormat="1" ht="21.75" hidden="1" customHeight="1" x14ac:dyDescent="0.35">
      <c r="A435" s="1"/>
      <c r="B435" s="21"/>
      <c r="K435" s="39"/>
      <c r="L435" s="40"/>
    </row>
    <row r="436" spans="1:12" s="20" customFormat="1" ht="21.75" hidden="1" customHeight="1" x14ac:dyDescent="0.35">
      <c r="A436" s="1"/>
      <c r="B436" s="21"/>
      <c r="K436" s="39"/>
      <c r="L436" s="40"/>
    </row>
    <row r="437" spans="1:12" s="20" customFormat="1" ht="21.75" hidden="1" customHeight="1" x14ac:dyDescent="0.35">
      <c r="A437" s="1"/>
      <c r="B437" s="21"/>
      <c r="K437" s="39"/>
      <c r="L437" s="40"/>
    </row>
    <row r="438" spans="1:12" s="20" customFormat="1" ht="21.75" hidden="1" customHeight="1" x14ac:dyDescent="0.35">
      <c r="A438" s="1"/>
      <c r="B438" s="21"/>
      <c r="K438" s="39"/>
      <c r="L438" s="40"/>
    </row>
    <row r="439" spans="1:12" s="20" customFormat="1" ht="21.75" hidden="1" customHeight="1" x14ac:dyDescent="0.35">
      <c r="A439" s="1"/>
      <c r="B439" s="21"/>
      <c r="K439" s="39"/>
      <c r="L439" s="40"/>
    </row>
    <row r="440" spans="1:12" s="20" customFormat="1" ht="21.75" hidden="1" customHeight="1" x14ac:dyDescent="0.35">
      <c r="A440" s="1"/>
      <c r="B440" s="21"/>
      <c r="K440" s="39"/>
      <c r="L440" s="40"/>
    </row>
    <row r="441" spans="1:12" s="20" customFormat="1" ht="21.75" hidden="1" customHeight="1" x14ac:dyDescent="0.35">
      <c r="A441" s="1"/>
      <c r="B441" s="21"/>
      <c r="K441" s="39"/>
      <c r="L441" s="40"/>
    </row>
    <row r="442" spans="1:12" s="20" customFormat="1" ht="21.75" hidden="1" customHeight="1" x14ac:dyDescent="0.35">
      <c r="A442" s="1"/>
      <c r="B442" s="21"/>
      <c r="K442" s="39"/>
      <c r="L442" s="40"/>
    </row>
    <row r="443" spans="1:12" s="20" customFormat="1" ht="21.75" hidden="1" customHeight="1" x14ac:dyDescent="0.35">
      <c r="A443" s="1"/>
      <c r="B443" s="21"/>
      <c r="K443" s="39"/>
      <c r="L443" s="40"/>
    </row>
    <row r="444" spans="1:12" s="20" customFormat="1" ht="21.75" hidden="1" customHeight="1" x14ac:dyDescent="0.35">
      <c r="A444" s="1"/>
      <c r="B444" s="21"/>
      <c r="K444" s="39"/>
      <c r="L444" s="40"/>
    </row>
    <row r="445" spans="1:12" s="20" customFormat="1" ht="21.75" hidden="1" customHeight="1" x14ac:dyDescent="0.35">
      <c r="A445" s="1"/>
      <c r="B445" s="21"/>
      <c r="K445" s="39"/>
      <c r="L445" s="40"/>
    </row>
    <row r="446" spans="1:12" s="20" customFormat="1" ht="21.75" hidden="1" customHeight="1" x14ac:dyDescent="0.35">
      <c r="A446" s="1"/>
      <c r="B446" s="21"/>
      <c r="K446" s="39"/>
      <c r="L446" s="40"/>
    </row>
    <row r="447" spans="1:12" ht="21.75" hidden="1" customHeight="1" x14ac:dyDescent="0.35">
      <c r="B447" s="21"/>
    </row>
    <row r="448" spans="1:12" s="20" customFormat="1" ht="21.75" hidden="1" customHeight="1" x14ac:dyDescent="0.35">
      <c r="A448" s="1"/>
      <c r="B448" s="21"/>
      <c r="K448" s="39"/>
      <c r="L448" s="40"/>
    </row>
    <row r="449" spans="1:12" s="20" customFormat="1" ht="21.75" hidden="1" customHeight="1" x14ac:dyDescent="0.35">
      <c r="A449" s="1"/>
      <c r="B449" s="21"/>
      <c r="K449" s="39"/>
      <c r="L449" s="40"/>
    </row>
    <row r="450" spans="1:12" s="20" customFormat="1" ht="21.75" hidden="1" customHeight="1" x14ac:dyDescent="0.35">
      <c r="A450" s="1"/>
      <c r="B450" s="21"/>
      <c r="K450" s="39"/>
      <c r="L450" s="40"/>
    </row>
    <row r="451" spans="1:12" s="20" customFormat="1" ht="21.75" hidden="1" customHeight="1" x14ac:dyDescent="0.35">
      <c r="A451" s="1"/>
      <c r="B451" s="21"/>
      <c r="K451" s="39"/>
      <c r="L451" s="40"/>
    </row>
    <row r="452" spans="1:12" s="20" customFormat="1" ht="21.75" hidden="1" customHeight="1" x14ac:dyDescent="0.35">
      <c r="A452" s="1"/>
      <c r="B452" s="21"/>
      <c r="K452" s="39"/>
      <c r="L452" s="40"/>
    </row>
    <row r="453" spans="1:12" s="20" customFormat="1" ht="21.75" hidden="1" customHeight="1" x14ac:dyDescent="0.35">
      <c r="A453" s="1"/>
      <c r="B453" s="21"/>
      <c r="C453" s="67"/>
      <c r="D453" s="57"/>
      <c r="E453" s="42"/>
      <c r="F453" s="165"/>
      <c r="G453" s="165"/>
      <c r="H453" s="166"/>
      <c r="I453" s="43"/>
      <c r="J453" s="44"/>
      <c r="K453" s="39"/>
      <c r="L453" s="40"/>
    </row>
    <row r="454" spans="1:12" s="20" customFormat="1" ht="21.75" hidden="1" customHeight="1" x14ac:dyDescent="0.35">
      <c r="A454" s="1"/>
      <c r="B454" s="21"/>
      <c r="K454" s="39"/>
      <c r="L454" s="40"/>
    </row>
    <row r="455" spans="1:12" s="20" customFormat="1" ht="21.75" hidden="1" customHeight="1" x14ac:dyDescent="0.35">
      <c r="A455" s="1"/>
      <c r="B455" s="21"/>
      <c r="K455" s="39"/>
      <c r="L455" s="40"/>
    </row>
    <row r="456" spans="1:12" s="20" customFormat="1" ht="21.75" hidden="1" customHeight="1" x14ac:dyDescent="0.35">
      <c r="A456" s="1"/>
      <c r="B456" s="21"/>
      <c r="K456" s="39"/>
      <c r="L456" s="40"/>
    </row>
    <row r="457" spans="1:12" s="20" customFormat="1" ht="21.75" hidden="1" customHeight="1" x14ac:dyDescent="0.35">
      <c r="A457" s="1"/>
      <c r="B457" s="21"/>
      <c r="K457" s="39"/>
      <c r="L457" s="40"/>
    </row>
    <row r="458" spans="1:12" s="20" customFormat="1" ht="21.75" hidden="1" customHeight="1" x14ac:dyDescent="0.35">
      <c r="A458" s="1"/>
      <c r="B458" s="21"/>
      <c r="K458" s="39"/>
      <c r="L458" s="40"/>
    </row>
    <row r="459" spans="1:12" s="20" customFormat="1" ht="21.75" hidden="1" customHeight="1" x14ac:dyDescent="0.35">
      <c r="A459" s="1"/>
      <c r="B459" s="21"/>
      <c r="K459" s="39"/>
      <c r="L459" s="40"/>
    </row>
    <row r="460" spans="1:12" s="20" customFormat="1" ht="21.75" hidden="1" customHeight="1" x14ac:dyDescent="0.35">
      <c r="A460" s="1"/>
      <c r="B460" s="21"/>
      <c r="K460" s="39"/>
      <c r="L460" s="40"/>
    </row>
    <row r="461" spans="1:12" s="20" customFormat="1" ht="21.75" hidden="1" customHeight="1" x14ac:dyDescent="0.35">
      <c r="A461" s="1"/>
      <c r="B461" s="21"/>
      <c r="K461" s="39"/>
      <c r="L461" s="40"/>
    </row>
    <row r="462" spans="1:12" s="20" customFormat="1" ht="21.75" hidden="1" customHeight="1" x14ac:dyDescent="0.35">
      <c r="A462" s="1"/>
      <c r="B462" s="21"/>
      <c r="K462" s="39"/>
      <c r="L462" s="40"/>
    </row>
    <row r="463" spans="1:12" s="20" customFormat="1" ht="21.75" hidden="1" customHeight="1" x14ac:dyDescent="0.35">
      <c r="A463" s="1"/>
      <c r="B463" s="21"/>
      <c r="K463" s="39"/>
      <c r="L463" s="40"/>
    </row>
    <row r="464" spans="1:12" s="20" customFormat="1" ht="21.75" hidden="1" customHeight="1" x14ac:dyDescent="0.35">
      <c r="A464" s="1"/>
      <c r="B464" s="21"/>
      <c r="K464" s="39"/>
      <c r="L464" s="40"/>
    </row>
    <row r="465" spans="1:12" s="20" customFormat="1" ht="21.75" hidden="1" customHeight="1" x14ac:dyDescent="0.35">
      <c r="A465" s="1"/>
      <c r="B465" s="21"/>
      <c r="K465" s="39"/>
      <c r="L465" s="40"/>
    </row>
    <row r="466" spans="1:12" s="20" customFormat="1" ht="21.75" hidden="1" customHeight="1" x14ac:dyDescent="0.35">
      <c r="A466" s="1"/>
      <c r="B466" s="21"/>
      <c r="K466" s="39"/>
      <c r="L466" s="40"/>
    </row>
    <row r="467" spans="1:12" s="20" customFormat="1" ht="21.75" hidden="1" customHeight="1" x14ac:dyDescent="0.35">
      <c r="A467" s="1"/>
      <c r="B467" s="21"/>
      <c r="K467" s="39"/>
      <c r="L467" s="40"/>
    </row>
    <row r="468" spans="1:12" ht="21.75" hidden="1" customHeight="1" x14ac:dyDescent="0.35">
      <c r="B468" s="21"/>
    </row>
    <row r="469" spans="1:12" s="20" customFormat="1" ht="21.75" hidden="1" customHeight="1" x14ac:dyDescent="0.35">
      <c r="A469" s="1"/>
      <c r="B469" s="21"/>
      <c r="K469" s="39"/>
      <c r="L469" s="40"/>
    </row>
    <row r="470" spans="1:12" s="20" customFormat="1" ht="21.75" hidden="1" customHeight="1" x14ac:dyDescent="0.35">
      <c r="A470" s="1"/>
      <c r="B470" s="21"/>
      <c r="K470" s="39"/>
      <c r="L470" s="40"/>
    </row>
    <row r="471" spans="1:12" s="20" customFormat="1" ht="21.75" hidden="1" customHeight="1" x14ac:dyDescent="0.35">
      <c r="A471" s="1"/>
      <c r="B471" s="21"/>
      <c r="K471" s="39"/>
      <c r="L471" s="40"/>
    </row>
    <row r="472" spans="1:12" s="20" customFormat="1" ht="21.75" hidden="1" customHeight="1" x14ac:dyDescent="0.35">
      <c r="A472" s="1"/>
      <c r="B472" s="21"/>
      <c r="K472" s="39"/>
      <c r="L472" s="40"/>
    </row>
    <row r="473" spans="1:12" s="20" customFormat="1" ht="21.75" hidden="1" customHeight="1" x14ac:dyDescent="0.35">
      <c r="A473" s="1"/>
      <c r="B473" s="21"/>
      <c r="K473" s="39"/>
      <c r="L473" s="40"/>
    </row>
    <row r="474" spans="1:12" s="20" customFormat="1" ht="21.75" hidden="1" customHeight="1" x14ac:dyDescent="0.35">
      <c r="A474" s="1"/>
      <c r="B474" s="21"/>
      <c r="K474" s="39"/>
      <c r="L474" s="40"/>
    </row>
    <row r="475" spans="1:12" s="20" customFormat="1" ht="21.75" hidden="1" customHeight="1" x14ac:dyDescent="0.35">
      <c r="A475" s="1"/>
      <c r="B475" s="21"/>
      <c r="K475" s="39"/>
      <c r="L475" s="40"/>
    </row>
    <row r="476" spans="1:12" s="20" customFormat="1" ht="21.75" hidden="1" customHeight="1" x14ac:dyDescent="0.35">
      <c r="A476" s="1"/>
      <c r="B476" s="21"/>
      <c r="K476" s="39"/>
      <c r="L476" s="40"/>
    </row>
    <row r="477" spans="1:12" s="20" customFormat="1" ht="21.75" hidden="1" customHeight="1" x14ac:dyDescent="0.35">
      <c r="A477" s="1"/>
      <c r="B477" s="21"/>
      <c r="K477" s="39"/>
      <c r="L477" s="40"/>
    </row>
    <row r="478" spans="1:12" s="20" customFormat="1" ht="21.75" hidden="1" customHeight="1" x14ac:dyDescent="0.35">
      <c r="A478" s="1"/>
      <c r="B478" s="21"/>
      <c r="K478" s="39"/>
      <c r="L478" s="40"/>
    </row>
    <row r="479" spans="1:12" s="20" customFormat="1" ht="21.75" hidden="1" customHeight="1" x14ac:dyDescent="0.35">
      <c r="A479" s="1"/>
      <c r="B479" s="21"/>
      <c r="K479" s="39"/>
      <c r="L479" s="40"/>
    </row>
    <row r="480" spans="1:12" s="20" customFormat="1" ht="21.75" hidden="1" customHeight="1" x14ac:dyDescent="0.35">
      <c r="A480" s="1"/>
      <c r="B480" s="21"/>
      <c r="K480" s="39"/>
      <c r="L480" s="40"/>
    </row>
    <row r="481" spans="1:12" s="20" customFormat="1" ht="21.75" hidden="1" customHeight="1" x14ac:dyDescent="0.35">
      <c r="A481" s="1"/>
      <c r="B481" s="21"/>
      <c r="K481" s="39"/>
      <c r="L481" s="40"/>
    </row>
    <row r="482" spans="1:12" s="20" customFormat="1" ht="21.75" hidden="1" customHeight="1" x14ac:dyDescent="0.35">
      <c r="A482" s="1"/>
      <c r="B482" s="21"/>
      <c r="K482" s="39"/>
      <c r="L482" s="40"/>
    </row>
    <row r="483" spans="1:12" s="20" customFormat="1" ht="21.75" hidden="1" customHeight="1" x14ac:dyDescent="0.35">
      <c r="A483" s="1"/>
      <c r="B483" s="21"/>
      <c r="K483" s="39"/>
      <c r="L483" s="40"/>
    </row>
    <row r="484" spans="1:12" s="20" customFormat="1" ht="21.75" hidden="1" customHeight="1" x14ac:dyDescent="0.35">
      <c r="A484" s="1"/>
      <c r="B484" s="21"/>
      <c r="K484" s="39"/>
      <c r="L484" s="40"/>
    </row>
    <row r="485" spans="1:12" s="20" customFormat="1" ht="21.75" hidden="1" customHeight="1" x14ac:dyDescent="0.35">
      <c r="A485" s="1"/>
      <c r="B485" s="21"/>
      <c r="K485" s="39"/>
      <c r="L485" s="40"/>
    </row>
    <row r="486" spans="1:12" s="20" customFormat="1" ht="21.75" hidden="1" customHeight="1" x14ac:dyDescent="0.35">
      <c r="A486" s="1"/>
      <c r="B486" s="21"/>
      <c r="K486" s="39"/>
      <c r="L486" s="40"/>
    </row>
    <row r="487" spans="1:12" s="20" customFormat="1" ht="21.75" hidden="1" customHeight="1" x14ac:dyDescent="0.35">
      <c r="A487" s="1"/>
      <c r="B487" s="21"/>
      <c r="K487" s="39"/>
      <c r="L487" s="40"/>
    </row>
    <row r="488" spans="1:12" s="20" customFormat="1" ht="21.75" hidden="1" customHeight="1" x14ac:dyDescent="0.35">
      <c r="A488" s="1"/>
      <c r="B488" s="21"/>
      <c r="K488" s="39"/>
      <c r="L488" s="40"/>
    </row>
    <row r="489" spans="1:12" s="20" customFormat="1" ht="21.75" hidden="1" customHeight="1" x14ac:dyDescent="0.35">
      <c r="A489" s="1"/>
      <c r="B489" s="21"/>
      <c r="K489" s="39"/>
      <c r="L489" s="40"/>
    </row>
    <row r="490" spans="1:12" s="20" customFormat="1" ht="21.75" hidden="1" customHeight="1" x14ac:dyDescent="0.35">
      <c r="A490" s="1"/>
      <c r="B490" s="21"/>
      <c r="K490" s="39"/>
      <c r="L490" s="40"/>
    </row>
    <row r="491" spans="1:12" s="20" customFormat="1" ht="21.75" hidden="1" customHeight="1" x14ac:dyDescent="0.35">
      <c r="A491" s="1"/>
      <c r="B491" s="21"/>
      <c r="K491" s="39"/>
      <c r="L491" s="40"/>
    </row>
    <row r="492" spans="1:12" s="20" customFormat="1" ht="21.75" hidden="1" customHeight="1" x14ac:dyDescent="0.35">
      <c r="A492" s="1"/>
      <c r="B492" s="21"/>
      <c r="K492" s="39"/>
      <c r="L492" s="40"/>
    </row>
    <row r="493" spans="1:12" s="20" customFormat="1" ht="21.75" hidden="1" customHeight="1" x14ac:dyDescent="0.35">
      <c r="A493" s="1"/>
      <c r="B493" s="21"/>
      <c r="K493" s="39"/>
      <c r="L493" s="40"/>
    </row>
    <row r="494" spans="1:12" s="20" customFormat="1" ht="21.75" hidden="1" customHeight="1" x14ac:dyDescent="0.35">
      <c r="A494" s="1"/>
      <c r="B494" s="21"/>
      <c r="K494" s="39"/>
      <c r="L494" s="40"/>
    </row>
    <row r="495" spans="1:12" s="20" customFormat="1" ht="21.75" hidden="1" customHeight="1" x14ac:dyDescent="0.35">
      <c r="A495" s="1"/>
      <c r="B495" s="21"/>
      <c r="K495" s="39"/>
      <c r="L495" s="40"/>
    </row>
    <row r="496" spans="1:12" s="20" customFormat="1" ht="21.75" hidden="1" customHeight="1" x14ac:dyDescent="0.35">
      <c r="A496" s="1"/>
      <c r="B496" s="21"/>
      <c r="K496" s="39"/>
      <c r="L496" s="40"/>
    </row>
    <row r="497" spans="1:12" s="20" customFormat="1" ht="21.75" hidden="1" customHeight="1" x14ac:dyDescent="0.35">
      <c r="A497" s="1"/>
      <c r="B497" s="21"/>
      <c r="K497" s="39"/>
      <c r="L497" s="40"/>
    </row>
    <row r="498" spans="1:12" s="20" customFormat="1" ht="21.75" hidden="1" customHeight="1" x14ac:dyDescent="0.35">
      <c r="A498" s="1"/>
      <c r="B498" s="21"/>
      <c r="K498" s="39"/>
      <c r="L498" s="40"/>
    </row>
    <row r="499" spans="1:12" s="20" customFormat="1" ht="21.75" hidden="1" customHeight="1" x14ac:dyDescent="0.35">
      <c r="A499" s="1"/>
      <c r="B499" s="21"/>
      <c r="K499" s="39"/>
      <c r="L499" s="40"/>
    </row>
    <row r="500" spans="1:12" s="20" customFormat="1" ht="21.75" hidden="1" customHeight="1" x14ac:dyDescent="0.35">
      <c r="A500" s="1"/>
      <c r="B500" s="21"/>
      <c r="K500" s="39"/>
      <c r="L500" s="40"/>
    </row>
    <row r="501" spans="1:12" s="20" customFormat="1" ht="21.75" hidden="1" customHeight="1" x14ac:dyDescent="0.35">
      <c r="A501" s="1"/>
      <c r="B501" s="21"/>
      <c r="K501" s="39"/>
      <c r="L501" s="40"/>
    </row>
    <row r="502" spans="1:12" s="20" customFormat="1" ht="21.75" hidden="1" customHeight="1" x14ac:dyDescent="0.35">
      <c r="A502" s="1"/>
      <c r="B502" s="21"/>
      <c r="K502" s="39"/>
      <c r="L502" s="40"/>
    </row>
    <row r="503" spans="1:12" s="20" customFormat="1" ht="21.75" hidden="1" customHeight="1" x14ac:dyDescent="0.35">
      <c r="A503" s="1"/>
      <c r="B503" s="21"/>
      <c r="K503" s="39"/>
      <c r="L503" s="40"/>
    </row>
    <row r="504" spans="1:12" s="20" customFormat="1" ht="21.75" hidden="1" customHeight="1" x14ac:dyDescent="0.35">
      <c r="A504" s="1"/>
      <c r="B504" s="21"/>
      <c r="K504" s="39"/>
      <c r="L504" s="40"/>
    </row>
    <row r="505" spans="1:12" s="20" customFormat="1" ht="21.75" hidden="1" customHeight="1" x14ac:dyDescent="0.35">
      <c r="A505" s="1"/>
      <c r="B505" s="21"/>
      <c r="K505" s="39"/>
      <c r="L505" s="40"/>
    </row>
    <row r="506" spans="1:12" s="20" customFormat="1" ht="21.75" hidden="1" customHeight="1" x14ac:dyDescent="0.35">
      <c r="A506" s="1"/>
      <c r="B506" s="21"/>
      <c r="K506" s="39"/>
      <c r="L506" s="40"/>
    </row>
    <row r="507" spans="1:12" s="20" customFormat="1" ht="21.75" hidden="1" customHeight="1" x14ac:dyDescent="0.35">
      <c r="A507" s="1"/>
      <c r="B507" s="21"/>
      <c r="K507" s="39"/>
      <c r="L507" s="40"/>
    </row>
    <row r="508" spans="1:12" s="20" customFormat="1" ht="21.75" hidden="1" customHeight="1" x14ac:dyDescent="0.35">
      <c r="A508" s="1"/>
      <c r="B508" s="21"/>
      <c r="K508" s="39"/>
      <c r="L508" s="40"/>
    </row>
    <row r="509" spans="1:12" s="20" customFormat="1" ht="21.75" hidden="1" customHeight="1" x14ac:dyDescent="0.35">
      <c r="A509" s="1"/>
      <c r="B509" s="21"/>
      <c r="K509" s="39"/>
      <c r="L509" s="40"/>
    </row>
    <row r="510" spans="1:12" s="20" customFormat="1" ht="21.75" hidden="1" customHeight="1" x14ac:dyDescent="0.35">
      <c r="A510" s="1"/>
      <c r="B510" s="21"/>
      <c r="K510" s="39"/>
      <c r="L510" s="40"/>
    </row>
    <row r="511" spans="1:12" s="20" customFormat="1" ht="21.75" hidden="1" customHeight="1" x14ac:dyDescent="0.35">
      <c r="A511" s="1"/>
      <c r="B511" s="21"/>
      <c r="K511" s="39"/>
      <c r="L511" s="40"/>
    </row>
    <row r="512" spans="1:12" s="20" customFormat="1" ht="21.75" hidden="1" customHeight="1" x14ac:dyDescent="0.35">
      <c r="A512" s="1"/>
      <c r="B512" s="21"/>
      <c r="K512" s="39"/>
      <c r="L512" s="40"/>
    </row>
    <row r="513" spans="1:12" s="20" customFormat="1" ht="21.75" hidden="1" customHeight="1" x14ac:dyDescent="0.35">
      <c r="A513" s="1"/>
      <c r="B513" s="21"/>
      <c r="K513" s="39"/>
      <c r="L513" s="40"/>
    </row>
    <row r="514" spans="1:12" s="20" customFormat="1" ht="21.75" hidden="1" customHeight="1" x14ac:dyDescent="0.35">
      <c r="A514" s="1"/>
      <c r="B514" s="21"/>
      <c r="K514" s="39"/>
      <c r="L514" s="40"/>
    </row>
    <row r="515" spans="1:12" s="20" customFormat="1" ht="21.75" hidden="1" customHeight="1" x14ac:dyDescent="0.35">
      <c r="A515" s="1"/>
      <c r="B515" s="21"/>
      <c r="C515" s="67"/>
      <c r="D515" s="57"/>
      <c r="E515" s="42"/>
      <c r="F515" s="165"/>
      <c r="G515" s="165"/>
      <c r="H515" s="166"/>
      <c r="I515" s="43"/>
      <c r="J515" s="44"/>
      <c r="K515" s="39"/>
      <c r="L515" s="40"/>
    </row>
    <row r="516" spans="1:12" s="20" customFormat="1" ht="21.75" hidden="1" customHeight="1" x14ac:dyDescent="0.35">
      <c r="A516" s="1"/>
      <c r="B516" s="21"/>
      <c r="K516" s="39"/>
      <c r="L516" s="40"/>
    </row>
    <row r="517" spans="1:12" s="20" customFormat="1" ht="21.75" hidden="1" customHeight="1" x14ac:dyDescent="0.35">
      <c r="A517" s="1"/>
      <c r="B517" s="21"/>
      <c r="K517" s="39"/>
      <c r="L517" s="40"/>
    </row>
    <row r="518" spans="1:12" s="20" customFormat="1" ht="21.75" hidden="1" customHeight="1" x14ac:dyDescent="0.35">
      <c r="A518" s="1"/>
      <c r="B518" s="21"/>
      <c r="C518" s="67"/>
      <c r="D518" s="57"/>
      <c r="E518" s="42"/>
      <c r="F518" s="165"/>
      <c r="G518" s="165"/>
      <c r="H518" s="166"/>
      <c r="I518" s="43"/>
      <c r="J518" s="44"/>
      <c r="K518" s="39"/>
      <c r="L518" s="40"/>
    </row>
    <row r="519" spans="1:12" s="20" customFormat="1" ht="21.75" hidden="1" customHeight="1" x14ac:dyDescent="0.35">
      <c r="A519" s="1"/>
      <c r="B519" s="21"/>
      <c r="K519" s="39"/>
      <c r="L519" s="40"/>
    </row>
    <row r="520" spans="1:12" s="20" customFormat="1" ht="21.75" hidden="1" customHeight="1" x14ac:dyDescent="0.35">
      <c r="A520" s="1"/>
      <c r="B520" s="21"/>
      <c r="K520" s="39"/>
      <c r="L520" s="40"/>
    </row>
    <row r="521" spans="1:12" s="20" customFormat="1" ht="21.75" hidden="1" customHeight="1" x14ac:dyDescent="0.35">
      <c r="A521" s="1"/>
      <c r="B521" s="21"/>
      <c r="K521" s="39"/>
      <c r="L521" s="40"/>
    </row>
    <row r="522" spans="1:12" s="20" customFormat="1" ht="21.75" hidden="1" customHeight="1" x14ac:dyDescent="0.35">
      <c r="A522" s="1"/>
      <c r="B522" s="21"/>
      <c r="K522" s="39"/>
      <c r="L522" s="40"/>
    </row>
    <row r="523" spans="1:12" s="20" customFormat="1" ht="21.75" hidden="1" customHeight="1" x14ac:dyDescent="0.35">
      <c r="A523" s="1"/>
      <c r="B523" s="21"/>
      <c r="K523" s="39"/>
      <c r="L523" s="40"/>
    </row>
    <row r="524" spans="1:12" s="20" customFormat="1" ht="21.75" hidden="1" customHeight="1" x14ac:dyDescent="0.35">
      <c r="A524" s="1"/>
      <c r="B524" s="21"/>
      <c r="K524" s="39"/>
      <c r="L524" s="40"/>
    </row>
    <row r="525" spans="1:12" s="20" customFormat="1" ht="21.75" hidden="1" customHeight="1" x14ac:dyDescent="0.35">
      <c r="A525" s="1"/>
      <c r="B525" s="21"/>
      <c r="K525" s="39"/>
      <c r="L525" s="40"/>
    </row>
    <row r="526" spans="1:12" s="20" customFormat="1" ht="21.75" hidden="1" customHeight="1" x14ac:dyDescent="0.35">
      <c r="A526" s="1"/>
      <c r="B526" s="21"/>
      <c r="K526" s="39"/>
      <c r="L526" s="40"/>
    </row>
    <row r="527" spans="1:12" s="20" customFormat="1" ht="21.75" hidden="1" customHeight="1" x14ac:dyDescent="0.35">
      <c r="A527" s="1"/>
      <c r="B527" s="21"/>
      <c r="K527" s="39"/>
      <c r="L527" s="40"/>
    </row>
    <row r="528" spans="1:12" s="20" customFormat="1" ht="21.75" hidden="1" customHeight="1" x14ac:dyDescent="0.35">
      <c r="A528" s="1"/>
      <c r="B528" s="21"/>
      <c r="K528" s="39"/>
      <c r="L528" s="40"/>
    </row>
    <row r="529" spans="1:12" s="20" customFormat="1" ht="21.75" hidden="1" customHeight="1" x14ac:dyDescent="0.35">
      <c r="A529" s="1"/>
      <c r="B529" s="21"/>
      <c r="K529" s="39"/>
      <c r="L529" s="40"/>
    </row>
    <row r="530" spans="1:12" s="20" customFormat="1" ht="21.75" hidden="1" customHeight="1" x14ac:dyDescent="0.35">
      <c r="A530" s="1"/>
      <c r="B530" s="21"/>
      <c r="K530" s="39"/>
      <c r="L530" s="40"/>
    </row>
    <row r="531" spans="1:12" s="20" customFormat="1" ht="21.75" hidden="1" customHeight="1" x14ac:dyDescent="0.35">
      <c r="A531" s="1"/>
      <c r="B531" s="21"/>
      <c r="K531" s="39"/>
      <c r="L531" s="40"/>
    </row>
    <row r="532" spans="1:12" s="20" customFormat="1" ht="21.75" hidden="1" customHeight="1" x14ac:dyDescent="0.35">
      <c r="A532" s="1"/>
      <c r="B532" s="21"/>
      <c r="K532" s="39"/>
      <c r="L532" s="40"/>
    </row>
    <row r="533" spans="1:12" s="20" customFormat="1" ht="21.75" hidden="1" customHeight="1" x14ac:dyDescent="0.35">
      <c r="A533" s="1"/>
      <c r="B533" s="21"/>
      <c r="K533" s="39"/>
      <c r="L533" s="40"/>
    </row>
    <row r="534" spans="1:12" ht="21.75" hidden="1" customHeight="1" x14ac:dyDescent="0.35">
      <c r="B534" s="21"/>
    </row>
    <row r="535" spans="1:12" s="20" customFormat="1" ht="21.75" hidden="1" customHeight="1" x14ac:dyDescent="0.35">
      <c r="A535" s="1"/>
      <c r="B535" s="21"/>
      <c r="K535" s="39"/>
      <c r="L535" s="40"/>
    </row>
    <row r="536" spans="1:12" s="20" customFormat="1" ht="21.75" hidden="1" customHeight="1" x14ac:dyDescent="0.35">
      <c r="A536" s="1"/>
      <c r="B536" s="21"/>
      <c r="K536" s="39"/>
      <c r="L536" s="40"/>
    </row>
    <row r="537" spans="1:12" s="20" customFormat="1" ht="21.75" hidden="1" customHeight="1" x14ac:dyDescent="0.35">
      <c r="A537" s="1"/>
      <c r="B537" s="21"/>
      <c r="K537" s="39"/>
      <c r="L537" s="40"/>
    </row>
    <row r="538" spans="1:12" s="20" customFormat="1" ht="21.75" hidden="1" customHeight="1" x14ac:dyDescent="0.35">
      <c r="A538" s="1"/>
      <c r="B538" s="21"/>
      <c r="K538" s="39"/>
      <c r="L538" s="40"/>
    </row>
    <row r="539" spans="1:12" s="20" customFormat="1" ht="21.75" hidden="1" customHeight="1" x14ac:dyDescent="0.35">
      <c r="A539" s="1"/>
      <c r="B539" s="21"/>
      <c r="K539" s="39"/>
      <c r="L539" s="40"/>
    </row>
    <row r="540" spans="1:12" s="20" customFormat="1" ht="21.75" hidden="1" customHeight="1" x14ac:dyDescent="0.35">
      <c r="A540" s="1"/>
      <c r="B540" s="21"/>
      <c r="K540" s="39"/>
      <c r="L540" s="40"/>
    </row>
    <row r="541" spans="1:12" s="20" customFormat="1" ht="21.75" hidden="1" customHeight="1" x14ac:dyDescent="0.35">
      <c r="A541" s="1"/>
      <c r="B541" s="21"/>
      <c r="K541" s="39"/>
      <c r="L541" s="40"/>
    </row>
    <row r="542" spans="1:12" s="20" customFormat="1" ht="21.75" hidden="1" customHeight="1" x14ac:dyDescent="0.35">
      <c r="A542" s="1"/>
      <c r="B542" s="21"/>
      <c r="K542" s="39"/>
      <c r="L542" s="40"/>
    </row>
    <row r="543" spans="1:12" s="20" customFormat="1" ht="21.75" hidden="1" customHeight="1" x14ac:dyDescent="0.35">
      <c r="A543" s="1"/>
      <c r="B543" s="21"/>
      <c r="K543" s="39"/>
      <c r="L543" s="40"/>
    </row>
    <row r="544" spans="1:12" s="20" customFormat="1" ht="21.75" hidden="1" customHeight="1" x14ac:dyDescent="0.35">
      <c r="A544" s="1"/>
      <c r="B544" s="21"/>
      <c r="K544" s="39"/>
      <c r="L544" s="40"/>
    </row>
    <row r="545" spans="1:12" s="20" customFormat="1" ht="21.75" hidden="1" customHeight="1" x14ac:dyDescent="0.35">
      <c r="A545" s="1"/>
      <c r="B545" s="21"/>
      <c r="K545" s="39"/>
      <c r="L545" s="40"/>
    </row>
    <row r="546" spans="1:12" s="20" customFormat="1" ht="21.75" hidden="1" customHeight="1" x14ac:dyDescent="0.35">
      <c r="A546" s="1"/>
      <c r="B546" s="21"/>
      <c r="K546" s="39"/>
      <c r="L546" s="40"/>
    </row>
    <row r="547" spans="1:12" s="20" customFormat="1" ht="21.75" hidden="1" customHeight="1" x14ac:dyDescent="0.35">
      <c r="A547" s="1"/>
      <c r="B547" s="21"/>
      <c r="K547" s="39"/>
      <c r="L547" s="40"/>
    </row>
    <row r="548" spans="1:12" s="20" customFormat="1" ht="21.75" hidden="1" customHeight="1" x14ac:dyDescent="0.35">
      <c r="A548" s="1"/>
      <c r="B548" s="21"/>
      <c r="K548" s="39"/>
      <c r="L548" s="40"/>
    </row>
    <row r="549" spans="1:12" s="20" customFormat="1" ht="21.75" hidden="1" customHeight="1" x14ac:dyDescent="0.35">
      <c r="A549" s="1"/>
      <c r="B549" s="21"/>
      <c r="K549" s="39"/>
      <c r="L549" s="40"/>
    </row>
    <row r="550" spans="1:12" s="20" customFormat="1" ht="21.75" hidden="1" customHeight="1" x14ac:dyDescent="0.35">
      <c r="A550" s="1"/>
      <c r="B550" s="21"/>
      <c r="K550" s="39"/>
      <c r="L550" s="40"/>
    </row>
    <row r="551" spans="1:12" s="20" customFormat="1" ht="21.75" hidden="1" customHeight="1" x14ac:dyDescent="0.35">
      <c r="A551" s="1"/>
      <c r="B551" s="21"/>
      <c r="K551" s="39"/>
      <c r="L551" s="40"/>
    </row>
    <row r="552" spans="1:12" s="20" customFormat="1" ht="21.75" hidden="1" customHeight="1" x14ac:dyDescent="0.35">
      <c r="A552" s="1"/>
      <c r="B552" s="21"/>
      <c r="K552" s="39"/>
      <c r="L552" s="40"/>
    </row>
    <row r="553" spans="1:12" s="20" customFormat="1" ht="21.75" hidden="1" customHeight="1" x14ac:dyDescent="0.35">
      <c r="A553" s="1"/>
      <c r="B553" s="21"/>
      <c r="K553" s="39"/>
      <c r="L553" s="40"/>
    </row>
    <row r="554" spans="1:12" s="20" customFormat="1" ht="21.75" hidden="1" customHeight="1" x14ac:dyDescent="0.35">
      <c r="A554" s="1"/>
      <c r="B554" s="21"/>
      <c r="K554" s="39"/>
      <c r="L554" s="40"/>
    </row>
    <row r="555" spans="1:12" s="20" customFormat="1" ht="21.75" hidden="1" customHeight="1" x14ac:dyDescent="0.35">
      <c r="A555" s="1"/>
      <c r="B555" s="21"/>
      <c r="K555" s="39"/>
      <c r="L555" s="40"/>
    </row>
    <row r="556" spans="1:12" s="20" customFormat="1" ht="21.75" hidden="1" customHeight="1" x14ac:dyDescent="0.35">
      <c r="A556" s="1"/>
      <c r="B556" s="21"/>
      <c r="K556" s="39"/>
      <c r="L556" s="40"/>
    </row>
    <row r="557" spans="1:12" s="20" customFormat="1" ht="21.75" hidden="1" customHeight="1" x14ac:dyDescent="0.35">
      <c r="A557" s="1"/>
      <c r="B557" s="21"/>
      <c r="K557" s="39"/>
      <c r="L557" s="40"/>
    </row>
    <row r="558" spans="1:12" s="20" customFormat="1" ht="21.75" hidden="1" customHeight="1" x14ac:dyDescent="0.35">
      <c r="A558" s="1"/>
      <c r="B558" s="21"/>
      <c r="K558" s="39"/>
      <c r="L558" s="40"/>
    </row>
    <row r="559" spans="1:12" s="20" customFormat="1" ht="21.75" hidden="1" customHeight="1" x14ac:dyDescent="0.35">
      <c r="A559" s="1"/>
      <c r="B559" s="21"/>
      <c r="K559" s="39"/>
      <c r="L559" s="40"/>
    </row>
    <row r="560" spans="1:12" ht="21.75" hidden="1" customHeight="1" x14ac:dyDescent="0.35">
      <c r="B560" s="21"/>
    </row>
    <row r="561" spans="1:12" s="20" customFormat="1" ht="21.75" hidden="1" customHeight="1" x14ac:dyDescent="0.35">
      <c r="A561" s="1"/>
      <c r="B561" s="21"/>
      <c r="K561" s="39"/>
      <c r="L561" s="40"/>
    </row>
    <row r="562" spans="1:12" s="20" customFormat="1" ht="21.75" hidden="1" customHeight="1" x14ac:dyDescent="0.35">
      <c r="A562" s="1"/>
      <c r="B562" s="21"/>
      <c r="K562" s="39"/>
      <c r="L562" s="40"/>
    </row>
    <row r="563" spans="1:12" s="20" customFormat="1" ht="21.75" hidden="1" customHeight="1" x14ac:dyDescent="0.35">
      <c r="A563" s="1"/>
      <c r="B563" s="21"/>
      <c r="K563" s="39"/>
      <c r="L563" s="40"/>
    </row>
    <row r="564" spans="1:12" s="20" customFormat="1" ht="21.75" hidden="1" customHeight="1" x14ac:dyDescent="0.35">
      <c r="A564" s="1"/>
      <c r="B564" s="21"/>
      <c r="K564" s="39"/>
      <c r="L564" s="40"/>
    </row>
    <row r="565" spans="1:12" s="20" customFormat="1" ht="21.75" hidden="1" customHeight="1" x14ac:dyDescent="0.35">
      <c r="A565" s="1"/>
      <c r="B565" s="21"/>
      <c r="K565" s="39"/>
      <c r="L565" s="40"/>
    </row>
    <row r="566" spans="1:12" s="20" customFormat="1" ht="21.75" hidden="1" customHeight="1" x14ac:dyDescent="0.35">
      <c r="A566" s="1"/>
      <c r="B566" s="21"/>
      <c r="K566" s="39"/>
      <c r="L566" s="40"/>
    </row>
    <row r="567" spans="1:12" s="20" customFormat="1" ht="21.75" hidden="1" customHeight="1" x14ac:dyDescent="0.35">
      <c r="A567" s="1"/>
      <c r="B567" s="21"/>
      <c r="K567" s="39"/>
      <c r="L567" s="40"/>
    </row>
    <row r="568" spans="1:12" s="20" customFormat="1" ht="21.75" hidden="1" customHeight="1" x14ac:dyDescent="0.35">
      <c r="A568" s="1"/>
      <c r="B568" s="21"/>
      <c r="K568" s="39"/>
      <c r="L568" s="40"/>
    </row>
    <row r="569" spans="1:12" s="20" customFormat="1" ht="21.75" hidden="1" customHeight="1" x14ac:dyDescent="0.35">
      <c r="A569" s="1"/>
      <c r="B569" s="21"/>
      <c r="K569" s="39"/>
      <c r="L569" s="40"/>
    </row>
    <row r="570" spans="1:12" ht="21.75" hidden="1" customHeight="1" x14ac:dyDescent="0.35">
      <c r="B570" s="21"/>
    </row>
    <row r="571" spans="1:12" s="20" customFormat="1" ht="21.75" hidden="1" customHeight="1" x14ac:dyDescent="0.35">
      <c r="A571" s="1"/>
      <c r="B571" s="21"/>
      <c r="K571" s="39"/>
      <c r="L571" s="40"/>
    </row>
    <row r="572" spans="1:12" s="20" customFormat="1" ht="21.75" hidden="1" customHeight="1" x14ac:dyDescent="0.35">
      <c r="A572" s="1"/>
      <c r="B572" s="21"/>
      <c r="K572" s="39"/>
      <c r="L572" s="40"/>
    </row>
    <row r="573" spans="1:12" s="20" customFormat="1" ht="21.75" hidden="1" customHeight="1" x14ac:dyDescent="0.35">
      <c r="A573" s="1"/>
      <c r="B573" s="21"/>
      <c r="C573" s="67"/>
      <c r="D573" s="57"/>
      <c r="E573" s="42"/>
      <c r="F573" s="165"/>
      <c r="G573" s="165"/>
      <c r="H573" s="166"/>
      <c r="I573" s="43"/>
      <c r="J573" s="44"/>
      <c r="K573" s="39"/>
      <c r="L573" s="40"/>
    </row>
    <row r="574" spans="1:12" s="20" customFormat="1" ht="21.75" hidden="1" customHeight="1" x14ac:dyDescent="0.35">
      <c r="A574" s="1"/>
      <c r="B574" s="21"/>
      <c r="K574" s="39"/>
      <c r="L574" s="40"/>
    </row>
    <row r="575" spans="1:12" s="20" customFormat="1" ht="21.75" hidden="1" customHeight="1" x14ac:dyDescent="0.35">
      <c r="A575" s="1"/>
      <c r="B575" s="21"/>
      <c r="K575" s="39"/>
      <c r="L575" s="40"/>
    </row>
    <row r="576" spans="1:12" s="20" customFormat="1" ht="21.75" hidden="1" customHeight="1" x14ac:dyDescent="0.35">
      <c r="A576" s="1"/>
      <c r="B576" s="21"/>
      <c r="K576" s="39"/>
      <c r="L576" s="40"/>
    </row>
    <row r="577" spans="1:12" s="20" customFormat="1" ht="21.75" hidden="1" customHeight="1" x14ac:dyDescent="0.35">
      <c r="A577" s="1"/>
      <c r="B577" s="21"/>
      <c r="K577" s="39"/>
      <c r="L577" s="40"/>
    </row>
    <row r="578" spans="1:12" s="20" customFormat="1" ht="21.75" hidden="1" customHeight="1" x14ac:dyDescent="0.35">
      <c r="A578" s="1"/>
      <c r="B578" s="21"/>
      <c r="K578" s="39"/>
      <c r="L578" s="40"/>
    </row>
    <row r="579" spans="1:12" s="20" customFormat="1" ht="21.75" hidden="1" customHeight="1" x14ac:dyDescent="0.35">
      <c r="A579" s="1"/>
      <c r="B579" s="21"/>
      <c r="K579" s="39"/>
      <c r="L579" s="40"/>
    </row>
    <row r="580" spans="1:12" s="20" customFormat="1" ht="21.75" hidden="1" customHeight="1" x14ac:dyDescent="0.35">
      <c r="A580" s="1"/>
      <c r="B580" s="21"/>
      <c r="K580" s="39"/>
      <c r="L580" s="40"/>
    </row>
    <row r="581" spans="1:12" s="20" customFormat="1" ht="21.75" hidden="1" customHeight="1" x14ac:dyDescent="0.35">
      <c r="A581" s="1"/>
      <c r="B581" s="21"/>
      <c r="K581" s="39"/>
      <c r="L581" s="40"/>
    </row>
    <row r="582" spans="1:12" s="20" customFormat="1" ht="21.75" hidden="1" customHeight="1" x14ac:dyDescent="0.35">
      <c r="A582" s="1"/>
      <c r="B582" s="21"/>
      <c r="K582" s="39"/>
      <c r="L582" s="40"/>
    </row>
    <row r="583" spans="1:12" s="20" customFormat="1" ht="21.75" hidden="1" customHeight="1" x14ac:dyDescent="0.35">
      <c r="A583" s="1"/>
      <c r="B583" s="21"/>
      <c r="K583" s="39"/>
      <c r="L583" s="40"/>
    </row>
    <row r="584" spans="1:12" s="20" customFormat="1" ht="21.75" hidden="1" customHeight="1" x14ac:dyDescent="0.35">
      <c r="A584" s="1"/>
      <c r="B584" s="21"/>
      <c r="K584" s="39"/>
      <c r="L584" s="40"/>
    </row>
    <row r="585" spans="1:12" s="20" customFormat="1" ht="21.75" hidden="1" customHeight="1" x14ac:dyDescent="0.35">
      <c r="A585" s="1"/>
      <c r="B585" s="21"/>
      <c r="K585" s="39"/>
      <c r="L585" s="40"/>
    </row>
    <row r="586" spans="1:12" s="20" customFormat="1" ht="21.75" hidden="1" customHeight="1" x14ac:dyDescent="0.35">
      <c r="A586" s="1"/>
      <c r="B586" s="21"/>
      <c r="K586" s="39"/>
      <c r="L586" s="40"/>
    </row>
    <row r="587" spans="1:12" s="20" customFormat="1" ht="21.75" hidden="1" customHeight="1" x14ac:dyDescent="0.35">
      <c r="A587" s="1"/>
      <c r="B587" s="21"/>
      <c r="K587" s="39"/>
      <c r="L587" s="40"/>
    </row>
    <row r="588" spans="1:12" s="20" customFormat="1" ht="21.75" hidden="1" customHeight="1" x14ac:dyDescent="0.35">
      <c r="A588" s="1"/>
      <c r="B588" s="21"/>
      <c r="K588" s="39"/>
      <c r="L588" s="40"/>
    </row>
    <row r="589" spans="1:12" s="20" customFormat="1" ht="21.75" hidden="1" customHeight="1" x14ac:dyDescent="0.35">
      <c r="A589" s="1"/>
      <c r="B589" s="21"/>
      <c r="K589" s="39"/>
      <c r="L589" s="40"/>
    </row>
    <row r="590" spans="1:12" s="20" customFormat="1" ht="21.75" hidden="1" customHeight="1" x14ac:dyDescent="0.35">
      <c r="A590" s="1"/>
      <c r="B590" s="21"/>
      <c r="K590" s="39"/>
      <c r="L590" s="40"/>
    </row>
    <row r="591" spans="1:12" s="20" customFormat="1" ht="21.75" hidden="1" customHeight="1" x14ac:dyDescent="0.35">
      <c r="A591" s="1"/>
      <c r="B591" s="21"/>
      <c r="K591" s="39"/>
      <c r="L591" s="40"/>
    </row>
    <row r="592" spans="1:12" s="20" customFormat="1" ht="21.75" hidden="1" customHeight="1" x14ac:dyDescent="0.35">
      <c r="A592" s="1"/>
      <c r="B592" s="21"/>
      <c r="K592" s="39"/>
      <c r="L592" s="40"/>
    </row>
    <row r="593" spans="1:12" s="20" customFormat="1" ht="21.75" hidden="1" customHeight="1" x14ac:dyDescent="0.35">
      <c r="A593" s="1"/>
      <c r="B593" s="21"/>
      <c r="K593" s="39"/>
      <c r="L593" s="40"/>
    </row>
    <row r="594" spans="1:12" s="20" customFormat="1" ht="21.75" hidden="1" customHeight="1" x14ac:dyDescent="0.35">
      <c r="A594" s="1"/>
      <c r="B594" s="21"/>
      <c r="K594" s="39"/>
      <c r="L594" s="40"/>
    </row>
    <row r="595" spans="1:12" s="20" customFormat="1" ht="21.75" hidden="1" customHeight="1" x14ac:dyDescent="0.35">
      <c r="A595" s="1"/>
      <c r="B595" s="21"/>
      <c r="K595" s="39"/>
      <c r="L595" s="40"/>
    </row>
    <row r="596" spans="1:12" s="20" customFormat="1" ht="21.75" hidden="1" customHeight="1" x14ac:dyDescent="0.35">
      <c r="A596" s="1"/>
      <c r="B596" s="21"/>
      <c r="K596" s="39"/>
      <c r="L596" s="40"/>
    </row>
    <row r="597" spans="1:12" s="20" customFormat="1" ht="21.75" hidden="1" customHeight="1" x14ac:dyDescent="0.35">
      <c r="A597" s="1"/>
      <c r="B597" s="21"/>
      <c r="K597" s="39"/>
      <c r="L597" s="40"/>
    </row>
    <row r="598" spans="1:12" s="20" customFormat="1" ht="21.75" hidden="1" customHeight="1" x14ac:dyDescent="0.35">
      <c r="A598" s="1"/>
      <c r="B598" s="21"/>
      <c r="K598" s="39"/>
      <c r="L598" s="40"/>
    </row>
    <row r="599" spans="1:12" s="20" customFormat="1" ht="21.75" hidden="1" customHeight="1" x14ac:dyDescent="0.35">
      <c r="A599" s="1"/>
      <c r="B599" s="21"/>
      <c r="K599" s="39"/>
      <c r="L599" s="40"/>
    </row>
    <row r="600" spans="1:12" s="20" customFormat="1" ht="21.75" hidden="1" customHeight="1" x14ac:dyDescent="0.35">
      <c r="A600" s="1"/>
      <c r="B600" s="21"/>
      <c r="K600" s="39"/>
      <c r="L600" s="40"/>
    </row>
    <row r="601" spans="1:12" s="20" customFormat="1" ht="21.75" hidden="1" customHeight="1" x14ac:dyDescent="0.35">
      <c r="A601" s="1"/>
      <c r="B601" s="21"/>
      <c r="K601" s="39"/>
      <c r="L601" s="40"/>
    </row>
    <row r="602" spans="1:12" s="20" customFormat="1" ht="21.75" hidden="1" customHeight="1" x14ac:dyDescent="0.35">
      <c r="A602" s="1"/>
      <c r="B602" s="21"/>
      <c r="K602" s="39"/>
      <c r="L602" s="40"/>
    </row>
    <row r="603" spans="1:12" s="20" customFormat="1" ht="21.75" hidden="1" customHeight="1" x14ac:dyDescent="0.35">
      <c r="A603" s="1"/>
      <c r="B603" s="21"/>
      <c r="K603" s="39"/>
      <c r="L603" s="40"/>
    </row>
    <row r="604" spans="1:12" s="20" customFormat="1" ht="21.75" hidden="1" customHeight="1" x14ac:dyDescent="0.35">
      <c r="A604" s="1"/>
      <c r="B604" s="21"/>
      <c r="K604" s="39"/>
      <c r="L604" s="40"/>
    </row>
    <row r="605" spans="1:12" s="20" customFormat="1" ht="21.75" hidden="1" customHeight="1" x14ac:dyDescent="0.35">
      <c r="A605" s="1"/>
      <c r="B605" s="21"/>
      <c r="K605" s="39"/>
      <c r="L605" s="40"/>
    </row>
    <row r="606" spans="1:12" s="20" customFormat="1" ht="21.75" hidden="1" customHeight="1" x14ac:dyDescent="0.35">
      <c r="A606" s="1"/>
      <c r="B606" s="21"/>
      <c r="K606" s="39"/>
      <c r="L606" s="40"/>
    </row>
    <row r="607" spans="1:12" s="20" customFormat="1" ht="21.75" hidden="1" customHeight="1" x14ac:dyDescent="0.35">
      <c r="A607" s="1"/>
      <c r="B607" s="21"/>
      <c r="K607" s="39"/>
      <c r="L607" s="40"/>
    </row>
    <row r="608" spans="1:12" s="20" customFormat="1" ht="21.75" hidden="1" customHeight="1" x14ac:dyDescent="0.35">
      <c r="A608" s="1"/>
      <c r="B608" s="21"/>
      <c r="K608" s="39"/>
      <c r="L608" s="40"/>
    </row>
    <row r="609" spans="1:12" s="20" customFormat="1" ht="21.75" hidden="1" customHeight="1" x14ac:dyDescent="0.35">
      <c r="A609" s="1"/>
      <c r="B609" s="21"/>
      <c r="K609" s="39"/>
      <c r="L609" s="40"/>
    </row>
    <row r="610" spans="1:12" s="20" customFormat="1" ht="21.75" hidden="1" customHeight="1" x14ac:dyDescent="0.35">
      <c r="A610" s="1"/>
      <c r="B610" s="21"/>
      <c r="K610" s="39"/>
      <c r="L610" s="40"/>
    </row>
    <row r="611" spans="1:12" s="20" customFormat="1" ht="21.75" hidden="1" customHeight="1" x14ac:dyDescent="0.35">
      <c r="A611" s="1"/>
      <c r="B611" s="21"/>
      <c r="K611" s="39"/>
      <c r="L611" s="40"/>
    </row>
    <row r="612" spans="1:12" s="20" customFormat="1" ht="21.75" hidden="1" customHeight="1" x14ac:dyDescent="0.35">
      <c r="A612" s="1"/>
      <c r="B612" s="21"/>
      <c r="K612" s="39"/>
      <c r="L612" s="40"/>
    </row>
    <row r="613" spans="1:12" s="20" customFormat="1" ht="21.75" hidden="1" customHeight="1" x14ac:dyDescent="0.35">
      <c r="A613" s="1"/>
      <c r="B613" s="21"/>
      <c r="K613" s="39"/>
      <c r="L613" s="40"/>
    </row>
    <row r="614" spans="1:12" s="20" customFormat="1" ht="21.75" hidden="1" customHeight="1" x14ac:dyDescent="0.35">
      <c r="A614" s="1"/>
      <c r="B614" s="21"/>
      <c r="K614" s="39"/>
      <c r="L614" s="40"/>
    </row>
    <row r="615" spans="1:12" s="20" customFormat="1" ht="21.75" hidden="1" customHeight="1" x14ac:dyDescent="0.35">
      <c r="A615" s="1"/>
      <c r="B615" s="21"/>
      <c r="K615" s="39"/>
      <c r="L615" s="40"/>
    </row>
    <row r="616" spans="1:12" s="20" customFormat="1" ht="21.75" hidden="1" customHeight="1" x14ac:dyDescent="0.35">
      <c r="A616" s="1"/>
      <c r="B616" s="21"/>
      <c r="K616" s="39"/>
      <c r="L616" s="40"/>
    </row>
    <row r="617" spans="1:12" s="20" customFormat="1" ht="21.75" hidden="1" customHeight="1" x14ac:dyDescent="0.35">
      <c r="A617" s="1"/>
      <c r="B617" s="21"/>
      <c r="K617" s="39"/>
      <c r="L617" s="40"/>
    </row>
    <row r="618" spans="1:12" s="20" customFormat="1" ht="21.75" hidden="1" customHeight="1" x14ac:dyDescent="0.35">
      <c r="A618" s="1"/>
      <c r="B618" s="21"/>
      <c r="K618" s="39"/>
      <c r="L618" s="40"/>
    </row>
    <row r="619" spans="1:12" s="20" customFormat="1" ht="21.75" hidden="1" customHeight="1" x14ac:dyDescent="0.35">
      <c r="A619" s="1"/>
      <c r="B619" s="21"/>
      <c r="K619" s="39"/>
      <c r="L619" s="40"/>
    </row>
    <row r="620" spans="1:12" s="20" customFormat="1" ht="21.75" hidden="1" customHeight="1" x14ac:dyDescent="0.35">
      <c r="A620" s="1"/>
      <c r="B620" s="21"/>
      <c r="K620" s="39"/>
      <c r="L620" s="40"/>
    </row>
    <row r="621" spans="1:12" s="20" customFormat="1" ht="21.75" hidden="1" customHeight="1" x14ac:dyDescent="0.35">
      <c r="A621" s="1"/>
      <c r="B621" s="21"/>
      <c r="K621" s="39"/>
      <c r="L621" s="40"/>
    </row>
    <row r="622" spans="1:12" s="20" customFormat="1" ht="21.75" hidden="1" customHeight="1" x14ac:dyDescent="0.35">
      <c r="A622" s="1"/>
      <c r="B622" s="21"/>
      <c r="K622" s="39"/>
      <c r="L622" s="40"/>
    </row>
    <row r="623" spans="1:12" s="20" customFormat="1" ht="21.75" hidden="1" customHeight="1" x14ac:dyDescent="0.35">
      <c r="A623" s="1"/>
      <c r="B623" s="21"/>
      <c r="K623" s="39"/>
      <c r="L623" s="40"/>
    </row>
    <row r="624" spans="1:12" s="20" customFormat="1" ht="21.75" hidden="1" customHeight="1" x14ac:dyDescent="0.35">
      <c r="A624" s="1"/>
      <c r="B624" s="21"/>
      <c r="K624" s="39"/>
      <c r="L624" s="40"/>
    </row>
    <row r="625" spans="1:12" s="20" customFormat="1" ht="21.75" hidden="1" customHeight="1" x14ac:dyDescent="0.35">
      <c r="A625" s="1"/>
      <c r="B625" s="21"/>
      <c r="K625" s="39"/>
      <c r="L625" s="40"/>
    </row>
    <row r="626" spans="1:12" s="20" customFormat="1" ht="21.75" hidden="1" customHeight="1" x14ac:dyDescent="0.35">
      <c r="A626" s="1"/>
      <c r="B626" s="21"/>
      <c r="K626" s="39"/>
      <c r="L626" s="40"/>
    </row>
    <row r="627" spans="1:12" s="20" customFormat="1" ht="21.75" hidden="1" customHeight="1" x14ac:dyDescent="0.35">
      <c r="A627" s="1"/>
      <c r="B627" s="21"/>
      <c r="K627" s="39"/>
      <c r="L627" s="40"/>
    </row>
    <row r="628" spans="1:12" s="20" customFormat="1" ht="21.75" hidden="1" customHeight="1" x14ac:dyDescent="0.35">
      <c r="A628" s="1"/>
      <c r="B628" s="21"/>
      <c r="K628" s="39"/>
      <c r="L628" s="40"/>
    </row>
    <row r="629" spans="1:12" s="20" customFormat="1" ht="21.75" hidden="1" customHeight="1" x14ac:dyDescent="0.35">
      <c r="A629" s="1"/>
      <c r="B629" s="21"/>
      <c r="K629" s="39"/>
      <c r="L629" s="40"/>
    </row>
    <row r="630" spans="1:12" s="20" customFormat="1" ht="21.75" hidden="1" customHeight="1" x14ac:dyDescent="0.35">
      <c r="A630" s="1"/>
      <c r="B630" s="21"/>
      <c r="K630" s="39"/>
      <c r="L630" s="40"/>
    </row>
    <row r="631" spans="1:12" s="20" customFormat="1" ht="21.75" hidden="1" customHeight="1" x14ac:dyDescent="0.35">
      <c r="A631" s="1"/>
      <c r="B631" s="21"/>
      <c r="K631" s="39"/>
      <c r="L631" s="40"/>
    </row>
    <row r="632" spans="1:12" s="20" customFormat="1" ht="21.75" hidden="1" customHeight="1" x14ac:dyDescent="0.35">
      <c r="A632" s="1"/>
      <c r="B632" s="21"/>
      <c r="K632" s="39"/>
      <c r="L632" s="40"/>
    </row>
    <row r="633" spans="1:12" s="20" customFormat="1" ht="21.75" hidden="1" customHeight="1" x14ac:dyDescent="0.35">
      <c r="A633" s="1"/>
      <c r="B633" s="21"/>
      <c r="C633" s="67"/>
      <c r="D633" s="57"/>
      <c r="E633" s="42"/>
      <c r="F633" s="165"/>
      <c r="G633" s="165"/>
      <c r="H633" s="166"/>
      <c r="I633" s="43"/>
      <c r="J633" s="44"/>
      <c r="K633" s="39"/>
      <c r="L633" s="40"/>
    </row>
    <row r="634" spans="1:12" s="20" customFormat="1" ht="21.75" hidden="1" customHeight="1" x14ac:dyDescent="0.35">
      <c r="A634" s="1"/>
      <c r="B634" s="21"/>
      <c r="K634" s="39"/>
      <c r="L634" s="40"/>
    </row>
    <row r="635" spans="1:12" s="20" customFormat="1" ht="21.75" hidden="1" customHeight="1" x14ac:dyDescent="0.35">
      <c r="A635" s="1"/>
      <c r="B635" s="21"/>
      <c r="K635" s="39"/>
      <c r="L635" s="40"/>
    </row>
    <row r="636" spans="1:12" s="20" customFormat="1" ht="21.75" hidden="1" customHeight="1" x14ac:dyDescent="0.35">
      <c r="A636" s="1"/>
      <c r="B636" s="21"/>
      <c r="C636" s="67"/>
      <c r="D636" s="57"/>
      <c r="E636" s="41"/>
      <c r="F636" s="165"/>
      <c r="G636" s="165"/>
      <c r="H636" s="243"/>
      <c r="I636" s="244"/>
      <c r="J636" s="245"/>
      <c r="K636" s="39"/>
      <c r="L636" s="40"/>
    </row>
    <row r="637" spans="1:12" ht="11.25" hidden="1" customHeight="1" x14ac:dyDescent="0.35">
      <c r="B637" s="21"/>
      <c r="C637" s="39"/>
      <c r="D637" s="57"/>
      <c r="E637" s="42"/>
      <c r="F637" s="90"/>
      <c r="G637" s="90"/>
      <c r="H637" s="42"/>
      <c r="I637" s="43"/>
      <c r="J637" s="44"/>
      <c r="K637" s="39"/>
      <c r="L637" s="40"/>
    </row>
    <row r="638" spans="1:12" ht="18" hidden="1" x14ac:dyDescent="0.35">
      <c r="B638" s="1"/>
      <c r="C638" s="116"/>
      <c r="D638" s="117"/>
      <c r="E638" s="118"/>
      <c r="F638" s="119"/>
      <c r="G638" s="119"/>
      <c r="H638" s="118"/>
      <c r="I638" s="120"/>
      <c r="J638" s="121"/>
      <c r="K638" s="116"/>
      <c r="L638" s="40"/>
    </row>
    <row r="639" spans="1:12" ht="18" hidden="1" x14ac:dyDescent="0.35">
      <c r="B639" s="355"/>
      <c r="C639" s="355"/>
      <c r="D639" s="355"/>
      <c r="E639" s="355"/>
      <c r="F639" s="355"/>
      <c r="G639" s="355"/>
      <c r="H639" s="355"/>
      <c r="I639" s="355"/>
      <c r="J639" s="355"/>
      <c r="K639" s="355"/>
      <c r="L639" s="40"/>
    </row>
    <row r="640" spans="1:12" ht="18" hidden="1" x14ac:dyDescent="0.35">
      <c r="B640" s="355"/>
      <c r="C640" s="355"/>
      <c r="D640" s="355"/>
      <c r="E640" s="355"/>
      <c r="F640" s="355"/>
      <c r="G640" s="355"/>
      <c r="H640" s="355"/>
      <c r="I640" s="355"/>
      <c r="J640" s="355"/>
      <c r="K640" s="355"/>
      <c r="L640" s="40"/>
    </row>
    <row r="641" spans="2:12" ht="18" hidden="1" x14ac:dyDescent="0.35">
      <c r="B641" s="18"/>
      <c r="C641" s="18"/>
      <c r="D641" s="18"/>
      <c r="E641" s="82"/>
      <c r="F641" s="82"/>
      <c r="G641" s="82"/>
      <c r="H641" s="82"/>
      <c r="I641" s="82"/>
      <c r="J641" s="82"/>
      <c r="K641" s="82"/>
      <c r="L641" s="40"/>
    </row>
    <row r="642" spans="2:12" ht="21.75" hidden="1" customHeight="1" x14ac:dyDescent="0.35"/>
    <row r="643" spans="2:12" ht="21.75" hidden="1" customHeight="1" x14ac:dyDescent="0.35"/>
    <row r="644" spans="2:12" ht="21.75" hidden="1" customHeight="1" x14ac:dyDescent="0.35"/>
  </sheetData>
  <mergeCells count="7">
    <mergeCell ref="B639:K639"/>
    <mergeCell ref="B640:K640"/>
    <mergeCell ref="L413:R413"/>
    <mergeCell ref="B7:C7"/>
    <mergeCell ref="B5:J5"/>
    <mergeCell ref="B249:J249"/>
    <mergeCell ref="B8:C8"/>
  </mergeCells>
  <hyperlinks>
    <hyperlink ref="K7" location="Indice!A1" display="Volver"/>
    <hyperlink ref="B249" r:id="rId1" display="https://www.un.org/en/development/desa/population/migration/data/estimates2/data/UN_MigrantStockByAgeAndSex_2019.xlsx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showGridLines="0" zoomScaleNormal="100" workbookViewId="0">
      <pane xSplit="1" ySplit="8" topLeftCell="B230" activePane="bottomRight" state="frozen"/>
      <selection activeCell="C7" sqref="C7:N7"/>
      <selection pane="topRight" activeCell="C7" sqref="C7:N7"/>
      <selection pane="bottomLeft" activeCell="C7" sqref="C7:N7"/>
      <selection pane="bottomRight" activeCell="C7" sqref="C7:N7"/>
    </sheetView>
  </sheetViews>
  <sheetFormatPr baseColWidth="10" defaultColWidth="0" defaultRowHeight="18" zeroHeight="1" x14ac:dyDescent="0.35"/>
  <cols>
    <col min="1" max="1" width="2.85546875" style="1" customWidth="1"/>
    <col min="2" max="2" width="4.42578125" style="1" bestFit="1" customWidth="1"/>
    <col min="3" max="3" width="31.42578125" style="1" customWidth="1"/>
    <col min="4" max="4" width="18.140625" style="81" bestFit="1" customWidth="1"/>
    <col min="5" max="5" width="5.42578125" style="81" customWidth="1"/>
    <col min="6" max="6" width="19.7109375" style="81" customWidth="1"/>
    <col min="7" max="7" width="19.140625" style="81" customWidth="1"/>
    <col min="8" max="8" width="24.5703125" style="81" customWidth="1"/>
    <col min="9" max="9" width="19.5703125" style="81" customWidth="1"/>
    <col min="10" max="10" width="19.85546875" style="81" customWidth="1"/>
    <col min="11" max="11" width="11.42578125" style="1" customWidth="1"/>
    <col min="12" max="16384" width="11.42578125" style="1" hidden="1"/>
  </cols>
  <sheetData>
    <row r="1" spans="2:11" ht="24" x14ac:dyDescent="0.35">
      <c r="C1" s="3"/>
      <c r="D1" s="88"/>
      <c r="E1" s="88"/>
      <c r="F1" s="88"/>
      <c r="G1" s="88"/>
      <c r="H1" s="88"/>
      <c r="I1" s="88"/>
      <c r="J1" s="88"/>
    </row>
    <row r="2" spans="2:11" ht="18" customHeight="1" x14ac:dyDescent="0.35">
      <c r="C2" s="26"/>
      <c r="E2" s="63"/>
      <c r="F2" s="63"/>
      <c r="G2" s="63"/>
      <c r="H2" s="63"/>
      <c r="I2" s="63"/>
      <c r="J2" s="63"/>
    </row>
    <row r="3" spans="2:11" ht="15.75" customHeight="1" x14ac:dyDescent="0.35">
      <c r="C3" s="26"/>
      <c r="D3" s="63"/>
      <c r="E3" s="63"/>
      <c r="F3" s="63"/>
      <c r="G3" s="63"/>
      <c r="H3" s="63"/>
      <c r="I3" s="63"/>
      <c r="J3" s="176"/>
    </row>
    <row r="4" spans="2:11" ht="15.75" customHeight="1" x14ac:dyDescent="0.35">
      <c r="C4" s="26"/>
      <c r="D4" s="63"/>
      <c r="E4" s="63"/>
      <c r="F4" s="63"/>
      <c r="G4" s="63"/>
      <c r="H4" s="63"/>
      <c r="I4" s="63"/>
      <c r="J4" s="176"/>
    </row>
    <row r="5" spans="2:11" ht="22.5" customHeight="1" x14ac:dyDescent="0.35">
      <c r="B5" s="349" t="s">
        <v>312</v>
      </c>
      <c r="C5" s="349"/>
      <c r="D5" s="349"/>
      <c r="E5" s="349"/>
      <c r="F5" s="349"/>
      <c r="G5" s="349"/>
      <c r="H5" s="349"/>
      <c r="I5" s="349"/>
      <c r="J5" s="349"/>
    </row>
    <row r="6" spans="2:11" ht="16.5" customHeight="1" x14ac:dyDescent="0.35">
      <c r="B6" s="3"/>
      <c r="C6" s="26"/>
      <c r="D6" s="63"/>
      <c r="E6" s="63"/>
      <c r="F6" s="63"/>
      <c r="G6" s="63"/>
      <c r="H6" s="63"/>
      <c r="I6" s="63"/>
      <c r="J6" s="63"/>
    </row>
    <row r="7" spans="2:11" ht="54" customHeight="1" x14ac:dyDescent="0.35">
      <c r="B7" s="357" t="s">
        <v>54</v>
      </c>
      <c r="C7" s="357"/>
      <c r="D7" s="216" t="s">
        <v>45</v>
      </c>
      <c r="E7" s="224"/>
      <c r="F7" s="216" t="s">
        <v>64</v>
      </c>
      <c r="G7" s="216" t="s">
        <v>303</v>
      </c>
      <c r="H7" s="216" t="s">
        <v>302</v>
      </c>
      <c r="I7" s="216" t="s">
        <v>65</v>
      </c>
      <c r="J7" s="216" t="s">
        <v>66</v>
      </c>
      <c r="K7" s="215" t="s">
        <v>315</v>
      </c>
    </row>
    <row r="8" spans="2:11" ht="21" customHeight="1" x14ac:dyDescent="0.35">
      <c r="B8" s="360" t="s">
        <v>2</v>
      </c>
      <c r="C8" s="360"/>
      <c r="D8" s="225">
        <f>SUM(D9:D244)</f>
        <v>7794798.7290000012</v>
      </c>
      <c r="E8" s="225"/>
      <c r="F8" s="225">
        <f>SUM(F9:F244)</f>
        <v>280598.1050000001</v>
      </c>
      <c r="G8" s="225">
        <f t="shared" ref="G8:H8" si="0">SUM(G9:G244)</f>
        <v>134942.26100000014</v>
      </c>
      <c r="H8" s="225">
        <f t="shared" si="0"/>
        <v>145655.84400000007</v>
      </c>
      <c r="I8" s="226">
        <f t="shared" ref="I8:I71" si="1">(F8/D8)*100</f>
        <v>3.5998120638581028</v>
      </c>
      <c r="J8" s="227">
        <f>SUM(J10:J244)</f>
        <v>93.631641952820772</v>
      </c>
    </row>
    <row r="9" spans="2:11" ht="21" customHeight="1" x14ac:dyDescent="0.35">
      <c r="B9" s="21">
        <v>1</v>
      </c>
      <c r="C9" s="67" t="s">
        <v>26</v>
      </c>
      <c r="D9" s="57">
        <v>1380004.385</v>
      </c>
      <c r="E9" s="42"/>
      <c r="F9" s="270">
        <v>17869.491999999998</v>
      </c>
      <c r="G9" s="270">
        <v>6137.451</v>
      </c>
      <c r="H9" s="278">
        <v>11732.040999999999</v>
      </c>
      <c r="I9" s="43">
        <f t="shared" si="1"/>
        <v>1.2948866100885612</v>
      </c>
      <c r="J9" s="44">
        <f t="shared" ref="J9:J72" si="2">(F9/$F$8)*100</f>
        <v>6.368358047179254</v>
      </c>
    </row>
    <row r="10" spans="2:11" x14ac:dyDescent="0.35">
      <c r="B10" s="266">
        <v>2</v>
      </c>
      <c r="C10" s="257" t="s">
        <v>33</v>
      </c>
      <c r="D10" s="258">
        <v>128932.753</v>
      </c>
      <c r="E10" s="259"/>
      <c r="F10" s="273">
        <v>11185.736999999999</v>
      </c>
      <c r="G10" s="260">
        <v>5237.8639999999996</v>
      </c>
      <c r="H10" s="260">
        <v>5947.8729999999996</v>
      </c>
      <c r="I10" s="261">
        <f t="shared" si="1"/>
        <v>8.6756365157269233</v>
      </c>
      <c r="J10" s="262">
        <f t="shared" si="2"/>
        <v>3.9863907847845215</v>
      </c>
    </row>
    <row r="11" spans="2:11" x14ac:dyDescent="0.35">
      <c r="B11" s="265">
        <v>3</v>
      </c>
      <c r="C11" s="67" t="s">
        <v>20</v>
      </c>
      <c r="D11" s="57">
        <v>145934.46</v>
      </c>
      <c r="E11" s="167"/>
      <c r="F11" s="171">
        <v>10756.697</v>
      </c>
      <c r="G11" s="168">
        <v>6101.6760000000004</v>
      </c>
      <c r="H11" s="276">
        <v>4655.0209999999997</v>
      </c>
      <c r="I11" s="44">
        <f t="shared" si="1"/>
        <v>7.3709095165048755</v>
      </c>
      <c r="J11" s="44">
        <f t="shared" si="2"/>
        <v>3.8334888255927444</v>
      </c>
    </row>
    <row r="12" spans="2:11" x14ac:dyDescent="0.35">
      <c r="B12" s="265">
        <v>4</v>
      </c>
      <c r="C12" s="254" t="s">
        <v>43</v>
      </c>
      <c r="D12" s="255">
        <v>1439323.774</v>
      </c>
      <c r="E12" s="256"/>
      <c r="F12" s="171">
        <v>10461.17</v>
      </c>
      <c r="G12" s="168">
        <v>5692.6580000000004</v>
      </c>
      <c r="H12" s="276">
        <v>4768.5119999999997</v>
      </c>
      <c r="I12" s="44">
        <f t="shared" si="1"/>
        <v>0.7268114505555302</v>
      </c>
      <c r="J12" s="44">
        <f t="shared" si="2"/>
        <v>3.7281684421924357</v>
      </c>
    </row>
    <row r="13" spans="2:11" x14ac:dyDescent="0.35">
      <c r="B13" s="265">
        <v>5</v>
      </c>
      <c r="C13" s="67" t="s">
        <v>273</v>
      </c>
      <c r="D13" s="57">
        <v>17500.656999999999</v>
      </c>
      <c r="E13" s="167"/>
      <c r="F13" s="171">
        <v>8457.2139999999999</v>
      </c>
      <c r="G13" s="168">
        <v>3587.239</v>
      </c>
      <c r="H13" s="276">
        <v>4869.9750000000004</v>
      </c>
      <c r="I13" s="44">
        <f t="shared" si="1"/>
        <v>48.325122879672463</v>
      </c>
      <c r="J13" s="44">
        <f t="shared" si="2"/>
        <v>3.0139954081300715</v>
      </c>
    </row>
    <row r="14" spans="2:11" x14ac:dyDescent="0.35">
      <c r="B14" s="265">
        <v>6</v>
      </c>
      <c r="C14" s="67" t="s">
        <v>34</v>
      </c>
      <c r="D14" s="57">
        <v>164689.383</v>
      </c>
      <c r="E14" s="167"/>
      <c r="F14" s="171">
        <v>7401.7629999999999</v>
      </c>
      <c r="G14" s="168">
        <v>2429.8330000000001</v>
      </c>
      <c r="H14" s="276">
        <v>4971.93</v>
      </c>
      <c r="I14" s="44">
        <f t="shared" si="1"/>
        <v>4.4943777584010984</v>
      </c>
      <c r="J14" s="44">
        <f t="shared" si="2"/>
        <v>2.6378520981102125</v>
      </c>
    </row>
    <row r="15" spans="2:11" x14ac:dyDescent="0.35">
      <c r="B15" s="265">
        <v>7</v>
      </c>
      <c r="C15" s="67" t="s">
        <v>30</v>
      </c>
      <c r="D15" s="57">
        <v>220892.33100000001</v>
      </c>
      <c r="E15" s="167"/>
      <c r="F15" s="171">
        <v>6328.4</v>
      </c>
      <c r="G15" s="168">
        <v>2181.3290000000002</v>
      </c>
      <c r="H15" s="276">
        <v>4147.0709999999999</v>
      </c>
      <c r="I15" s="44">
        <f t="shared" si="1"/>
        <v>2.8649251747902462</v>
      </c>
      <c r="J15" s="44">
        <f t="shared" si="2"/>
        <v>2.2553252809743665</v>
      </c>
    </row>
    <row r="16" spans="2:11" x14ac:dyDescent="0.35">
      <c r="B16" s="265">
        <v>8</v>
      </c>
      <c r="C16" s="67" t="s">
        <v>27</v>
      </c>
      <c r="D16" s="57">
        <v>43733.758999999998</v>
      </c>
      <c r="E16" s="171"/>
      <c r="F16" s="171">
        <v>6139.1440000000002</v>
      </c>
      <c r="G16" s="168">
        <v>3360.527</v>
      </c>
      <c r="H16" s="276">
        <v>2778.6170000000002</v>
      </c>
      <c r="I16" s="44">
        <f t="shared" si="1"/>
        <v>14.037540198636938</v>
      </c>
      <c r="J16" s="44">
        <f t="shared" si="2"/>
        <v>2.1878779259753012</v>
      </c>
    </row>
    <row r="17" spans="2:13" x14ac:dyDescent="0.35">
      <c r="B17" s="265">
        <v>9</v>
      </c>
      <c r="C17" s="67" t="s">
        <v>36</v>
      </c>
      <c r="D17" s="57">
        <v>109581.08500000001</v>
      </c>
      <c r="E17" s="167"/>
      <c r="F17" s="171">
        <v>6094.3069999999998</v>
      </c>
      <c r="G17" s="168">
        <v>3289.34</v>
      </c>
      <c r="H17" s="276">
        <v>2804.9670000000001</v>
      </c>
      <c r="I17" s="44">
        <f t="shared" si="1"/>
        <v>5.5614588959399329</v>
      </c>
      <c r="J17" s="44">
        <f t="shared" si="2"/>
        <v>2.171898844434462</v>
      </c>
    </row>
    <row r="18" spans="2:13" x14ac:dyDescent="0.35">
      <c r="B18" s="265">
        <v>10</v>
      </c>
      <c r="C18" s="67" t="s">
        <v>32</v>
      </c>
      <c r="D18" s="57">
        <v>38928.341</v>
      </c>
      <c r="E18" s="167"/>
      <c r="F18" s="171">
        <v>5853.8379999999997</v>
      </c>
      <c r="G18" s="168">
        <v>2627.5189999999998</v>
      </c>
      <c r="H18" s="276">
        <v>3226.319</v>
      </c>
      <c r="I18" s="44">
        <f t="shared" si="1"/>
        <v>15.037471029140439</v>
      </c>
      <c r="J18" s="44">
        <f t="shared" si="2"/>
        <v>2.086200118849697</v>
      </c>
    </row>
    <row r="19" spans="2:13" x14ac:dyDescent="0.35">
      <c r="B19" s="265">
        <v>11</v>
      </c>
      <c r="C19" s="67" t="s">
        <v>271</v>
      </c>
      <c r="D19" s="57">
        <v>28435.942999999999</v>
      </c>
      <c r="E19" s="171"/>
      <c r="F19" s="171">
        <v>5415.3370000000004</v>
      </c>
      <c r="G19" s="168">
        <v>2810.1350000000002</v>
      </c>
      <c r="H19" s="276">
        <v>2605.2020000000002</v>
      </c>
      <c r="I19" s="44">
        <f t="shared" si="1"/>
        <v>19.043985986327236</v>
      </c>
      <c r="J19" s="44">
        <f t="shared" si="2"/>
        <v>1.9299264333948365</v>
      </c>
    </row>
    <row r="20" spans="2:13" x14ac:dyDescent="0.35">
      <c r="B20" s="265">
        <v>12</v>
      </c>
      <c r="C20" s="67" t="s">
        <v>38</v>
      </c>
      <c r="D20" s="57">
        <v>37846.605000000003</v>
      </c>
      <c r="E20" s="167"/>
      <c r="F20" s="171">
        <v>4825.0959999999995</v>
      </c>
      <c r="G20" s="168">
        <v>2526.1010000000001</v>
      </c>
      <c r="H20" s="276">
        <v>2298.9949999999999</v>
      </c>
      <c r="I20" s="44">
        <f t="shared" si="1"/>
        <v>12.749085419947177</v>
      </c>
      <c r="J20" s="44">
        <f t="shared" si="2"/>
        <v>1.7195754048303349</v>
      </c>
    </row>
    <row r="21" spans="2:13" x14ac:dyDescent="0.35">
      <c r="B21" s="265">
        <v>13</v>
      </c>
      <c r="C21" s="67" t="s">
        <v>77</v>
      </c>
      <c r="D21" s="57">
        <v>67886.004000000001</v>
      </c>
      <c r="E21" s="167"/>
      <c r="F21" s="171">
        <v>4732.51</v>
      </c>
      <c r="G21" s="168">
        <v>2323.7710000000002</v>
      </c>
      <c r="H21" s="276">
        <v>2408.739</v>
      </c>
      <c r="I21" s="44">
        <f t="shared" si="1"/>
        <v>6.9712602320796497</v>
      </c>
      <c r="J21" s="44">
        <f t="shared" si="2"/>
        <v>1.6865794585462359</v>
      </c>
    </row>
    <row r="22" spans="2:13" x14ac:dyDescent="0.35">
      <c r="B22" s="265">
        <v>14</v>
      </c>
      <c r="C22" s="67" t="s">
        <v>42</v>
      </c>
      <c r="D22" s="57">
        <v>273523.62099999998</v>
      </c>
      <c r="E22" s="167"/>
      <c r="F22" s="171">
        <v>4601.3689999999997</v>
      </c>
      <c r="G22" s="168">
        <v>2040.5989999999999</v>
      </c>
      <c r="H22" s="276">
        <v>2560.77</v>
      </c>
      <c r="I22" s="44">
        <f t="shared" si="1"/>
        <v>1.6822565390065527</v>
      </c>
      <c r="J22" s="44">
        <f t="shared" si="2"/>
        <v>1.6398432198962989</v>
      </c>
    </row>
    <row r="23" spans="2:13" x14ac:dyDescent="0.35">
      <c r="B23" s="265">
        <v>15</v>
      </c>
      <c r="C23" s="67" t="s">
        <v>44</v>
      </c>
      <c r="D23" s="57">
        <v>18776.706999999999</v>
      </c>
      <c r="E23" s="171"/>
      <c r="F23" s="171">
        <v>4203.8990000000003</v>
      </c>
      <c r="G23" s="168">
        <v>2269.1909999999998</v>
      </c>
      <c r="H23" s="276">
        <v>1934.7080000000001</v>
      </c>
      <c r="I23" s="44">
        <f t="shared" si="1"/>
        <v>22.388904508122753</v>
      </c>
      <c r="J23" s="44">
        <f t="shared" si="2"/>
        <v>1.4981922276346089</v>
      </c>
    </row>
    <row r="24" spans="2:13" x14ac:dyDescent="0.35">
      <c r="B24" s="265">
        <v>16</v>
      </c>
      <c r="C24" s="67" t="s">
        <v>328</v>
      </c>
      <c r="D24" s="57">
        <v>5101.4160000000002</v>
      </c>
      <c r="E24" s="171"/>
      <c r="F24" s="171">
        <v>4022.7910000000002</v>
      </c>
      <c r="G24" s="168">
        <v>1910.537</v>
      </c>
      <c r="H24" s="276">
        <v>2112.2539999999999</v>
      </c>
      <c r="I24" s="44">
        <f t="shared" si="1"/>
        <v>78.856360665352526</v>
      </c>
      <c r="J24" s="44">
        <f t="shared" si="2"/>
        <v>1.433648669865393</v>
      </c>
      <c r="M24" s="24"/>
    </row>
    <row r="25" spans="2:13" x14ac:dyDescent="0.35">
      <c r="B25" s="265">
        <v>17</v>
      </c>
      <c r="C25" s="67" t="s">
        <v>41</v>
      </c>
      <c r="D25" s="57">
        <v>19237.682000000001</v>
      </c>
      <c r="E25" s="171"/>
      <c r="F25" s="171">
        <v>3987.0929999999998</v>
      </c>
      <c r="G25" s="168">
        <v>2113.078</v>
      </c>
      <c r="H25" s="276">
        <v>1874.0150000000001</v>
      </c>
      <c r="I25" s="44">
        <f t="shared" si="1"/>
        <v>20.72543355275339</v>
      </c>
      <c r="J25" s="44">
        <f t="shared" si="2"/>
        <v>1.4209265597142926</v>
      </c>
    </row>
    <row r="26" spans="2:13" x14ac:dyDescent="0.35">
      <c r="B26" s="265">
        <v>18</v>
      </c>
      <c r="C26" s="67" t="s">
        <v>21</v>
      </c>
      <c r="D26" s="57">
        <v>83783.945000000007</v>
      </c>
      <c r="E26" s="171"/>
      <c r="F26" s="171">
        <v>3855.268</v>
      </c>
      <c r="G26" s="168">
        <v>2070.7809999999999</v>
      </c>
      <c r="H26" s="276">
        <v>1784.4870000000001</v>
      </c>
      <c r="I26" s="44">
        <f t="shared" si="1"/>
        <v>4.60144004916455</v>
      </c>
      <c r="J26" s="44">
        <f t="shared" si="2"/>
        <v>1.3739465560538975</v>
      </c>
    </row>
    <row r="27" spans="2:13" x14ac:dyDescent="0.35">
      <c r="B27" s="265">
        <v>19</v>
      </c>
      <c r="C27" s="67" t="s">
        <v>57</v>
      </c>
      <c r="D27" s="57">
        <v>54409.794000000002</v>
      </c>
      <c r="E27" s="167"/>
      <c r="F27" s="171">
        <v>3711.7510000000002</v>
      </c>
      <c r="G27" s="168">
        <v>1387.8520000000001</v>
      </c>
      <c r="H27" s="276">
        <v>2323.8989999999999</v>
      </c>
      <c r="I27" s="44">
        <f t="shared" si="1"/>
        <v>6.8218435085418623</v>
      </c>
      <c r="J27" s="44">
        <f t="shared" si="2"/>
        <v>1.3227997387936741</v>
      </c>
    </row>
    <row r="28" spans="2:13" x14ac:dyDescent="0.35">
      <c r="B28" s="265">
        <v>20</v>
      </c>
      <c r="C28" s="67" t="s">
        <v>39</v>
      </c>
      <c r="D28" s="57">
        <v>102334.40300000001</v>
      </c>
      <c r="E28" s="167"/>
      <c r="F28" s="171">
        <v>3610.4609999999998</v>
      </c>
      <c r="G28" s="168">
        <v>1268.575</v>
      </c>
      <c r="H28" s="276">
        <v>2341.886</v>
      </c>
      <c r="I28" s="44">
        <f t="shared" si="1"/>
        <v>3.5281009065934543</v>
      </c>
      <c r="J28" s="44">
        <f t="shared" si="2"/>
        <v>1.2867018471133291</v>
      </c>
    </row>
    <row r="29" spans="2:13" x14ac:dyDescent="0.35">
      <c r="B29" s="265">
        <v>21</v>
      </c>
      <c r="C29" s="67" t="s">
        <v>37</v>
      </c>
      <c r="D29" s="57">
        <v>84339.066999999995</v>
      </c>
      <c r="E29" s="167"/>
      <c r="F29" s="171">
        <v>3411.4079999999999</v>
      </c>
      <c r="G29" s="168">
        <v>1645.3820000000001</v>
      </c>
      <c r="H29" s="276">
        <v>1766.0260000000001</v>
      </c>
      <c r="I29" s="44">
        <f t="shared" si="1"/>
        <v>4.0448728226979318</v>
      </c>
      <c r="J29" s="44">
        <f t="shared" si="2"/>
        <v>1.2157630216355162</v>
      </c>
    </row>
    <row r="30" spans="2:13" x14ac:dyDescent="0.35">
      <c r="B30" s="265">
        <v>22</v>
      </c>
      <c r="C30" s="67" t="s">
        <v>189</v>
      </c>
      <c r="D30" s="57">
        <v>97338.582999999999</v>
      </c>
      <c r="E30" s="171"/>
      <c r="F30" s="171">
        <v>3392.0250000000001</v>
      </c>
      <c r="G30" s="168">
        <v>1705.174</v>
      </c>
      <c r="H30" s="276">
        <v>1686.8510000000001</v>
      </c>
      <c r="I30" s="44">
        <f t="shared" si="1"/>
        <v>3.484769240990492</v>
      </c>
      <c r="J30" s="44">
        <f t="shared" si="2"/>
        <v>1.2088552771944054</v>
      </c>
    </row>
    <row r="31" spans="2:13" x14ac:dyDescent="0.35">
      <c r="B31" s="265">
        <v>23</v>
      </c>
      <c r="C31" s="67" t="s">
        <v>179</v>
      </c>
      <c r="D31" s="57">
        <v>36910.557999999997</v>
      </c>
      <c r="E31" s="171"/>
      <c r="F31" s="171">
        <v>3262.2220000000002</v>
      </c>
      <c r="G31" s="168">
        <v>1554.7940000000001</v>
      </c>
      <c r="H31" s="276">
        <v>1707.4280000000001</v>
      </c>
      <c r="I31" s="44">
        <f t="shared" si="1"/>
        <v>8.838181205496813</v>
      </c>
      <c r="J31" s="44">
        <f t="shared" si="2"/>
        <v>1.1625958771175589</v>
      </c>
    </row>
    <row r="32" spans="2:13" x14ac:dyDescent="0.35">
      <c r="B32" s="265">
        <v>24</v>
      </c>
      <c r="C32" s="67" t="s">
        <v>29</v>
      </c>
      <c r="D32" s="57">
        <v>60461.828000000001</v>
      </c>
      <c r="E32" s="171"/>
      <c r="F32" s="171">
        <v>3258.8310000000001</v>
      </c>
      <c r="G32" s="168">
        <v>1501.829</v>
      </c>
      <c r="H32" s="276">
        <v>1757.002</v>
      </c>
      <c r="I32" s="44">
        <f t="shared" si="1"/>
        <v>5.3898982346349174</v>
      </c>
      <c r="J32" s="44">
        <f t="shared" si="2"/>
        <v>1.1613873871314986</v>
      </c>
    </row>
    <row r="33" spans="2:10" x14ac:dyDescent="0.35">
      <c r="B33" s="265">
        <v>25</v>
      </c>
      <c r="C33" s="67" t="s">
        <v>109</v>
      </c>
      <c r="D33" s="57">
        <v>50882.883999999998</v>
      </c>
      <c r="E33" s="171"/>
      <c r="F33" s="171">
        <v>3024.2730000000001</v>
      </c>
      <c r="G33" s="168">
        <v>1647.8309999999999</v>
      </c>
      <c r="H33" s="276">
        <v>1376.442</v>
      </c>
      <c r="I33" s="44">
        <f t="shared" si="1"/>
        <v>5.9435958857992413</v>
      </c>
      <c r="J33" s="44">
        <f t="shared" si="2"/>
        <v>1.0777952331502734</v>
      </c>
    </row>
    <row r="34" spans="2:10" x14ac:dyDescent="0.35">
      <c r="B34" s="265">
        <v>26</v>
      </c>
      <c r="C34" s="67" t="s">
        <v>51</v>
      </c>
      <c r="D34" s="57">
        <v>331002.647</v>
      </c>
      <c r="E34" s="171"/>
      <c r="F34" s="171">
        <v>2996.223</v>
      </c>
      <c r="G34" s="168">
        <v>1491.9860000000001</v>
      </c>
      <c r="H34" s="276">
        <v>1504.2370000000001</v>
      </c>
      <c r="I34" s="44">
        <f t="shared" si="1"/>
        <v>0.90519608442889576</v>
      </c>
      <c r="J34" s="44">
        <f t="shared" si="2"/>
        <v>1.0677987294319036</v>
      </c>
    </row>
    <row r="35" spans="2:10" x14ac:dyDescent="0.35">
      <c r="B35" s="265">
        <v>27</v>
      </c>
      <c r="C35" s="67" t="s">
        <v>132</v>
      </c>
      <c r="D35" s="57">
        <v>29136.808000000001</v>
      </c>
      <c r="E35" s="171"/>
      <c r="F35" s="171">
        <v>2599.701</v>
      </c>
      <c r="G35" s="168">
        <v>1138.0050000000001</v>
      </c>
      <c r="H35" s="276">
        <v>1461.6959999999999</v>
      </c>
      <c r="I35" s="44">
        <f t="shared" si="1"/>
        <v>8.9223946562712015</v>
      </c>
      <c r="J35" s="44">
        <f t="shared" si="2"/>
        <v>0.9264855869215507</v>
      </c>
    </row>
    <row r="36" spans="2:10" x14ac:dyDescent="0.35">
      <c r="B36" s="265">
        <v>28</v>
      </c>
      <c r="C36" s="67" t="s">
        <v>116</v>
      </c>
      <c r="D36" s="57">
        <v>11193.728999999999</v>
      </c>
      <c r="E36" s="171"/>
      <c r="F36" s="171">
        <v>2575.87</v>
      </c>
      <c r="G36" s="168">
        <v>1304.7660000000001</v>
      </c>
      <c r="H36" s="276">
        <v>1271.104</v>
      </c>
      <c r="I36" s="44">
        <f t="shared" si="1"/>
        <v>23.011723796422086</v>
      </c>
      <c r="J36" s="44">
        <f t="shared" si="2"/>
        <v>0.91799265714927014</v>
      </c>
    </row>
    <row r="37" spans="2:10" x14ac:dyDescent="0.35">
      <c r="B37" s="265">
        <v>29</v>
      </c>
      <c r="C37" s="246" t="s">
        <v>24</v>
      </c>
      <c r="D37" s="57">
        <v>65273.512000000002</v>
      </c>
      <c r="E37" s="171"/>
      <c r="F37" s="171">
        <v>2341.9079999999999</v>
      </c>
      <c r="G37" s="168">
        <v>1202.799</v>
      </c>
      <c r="H37" s="276">
        <v>1139.1089999999999</v>
      </c>
      <c r="I37" s="44">
        <f t="shared" si="1"/>
        <v>3.5878382030370908</v>
      </c>
      <c r="J37" s="44">
        <f t="shared" si="2"/>
        <v>0.83461290659821064</v>
      </c>
    </row>
    <row r="38" spans="2:10" x14ac:dyDescent="0.35">
      <c r="B38" s="265">
        <v>30</v>
      </c>
      <c r="C38" s="67" t="s">
        <v>272</v>
      </c>
      <c r="D38" s="57">
        <v>51269.182999999997</v>
      </c>
      <c r="E38" s="171"/>
      <c r="F38" s="171">
        <v>2204.5540000000001</v>
      </c>
      <c r="G38" s="168">
        <v>1116.0630000000001</v>
      </c>
      <c r="H38" s="276">
        <v>1088.491</v>
      </c>
      <c r="I38" s="44">
        <f t="shared" si="1"/>
        <v>4.2999592952358929</v>
      </c>
      <c r="J38" s="44">
        <f t="shared" si="2"/>
        <v>0.78566246910327464</v>
      </c>
    </row>
    <row r="39" spans="2:10" x14ac:dyDescent="0.35">
      <c r="B39" s="265">
        <v>31</v>
      </c>
      <c r="C39" s="67" t="s">
        <v>106</v>
      </c>
      <c r="D39" s="57">
        <v>43849.269</v>
      </c>
      <c r="E39" s="171"/>
      <c r="F39" s="171">
        <v>2104.8870000000002</v>
      </c>
      <c r="G39" s="168">
        <v>949.20299999999997</v>
      </c>
      <c r="H39" s="276">
        <v>1155.684</v>
      </c>
      <c r="I39" s="44">
        <f t="shared" si="1"/>
        <v>4.8002784265343168</v>
      </c>
      <c r="J39" s="44">
        <f t="shared" si="2"/>
        <v>0.75014298475037799</v>
      </c>
    </row>
    <row r="40" spans="2:10" x14ac:dyDescent="0.35">
      <c r="B40" s="265">
        <v>32</v>
      </c>
      <c r="C40" s="67" t="s">
        <v>114</v>
      </c>
      <c r="D40" s="57">
        <v>10196.707</v>
      </c>
      <c r="E40" s="171"/>
      <c r="F40" s="171">
        <v>2081.4189999999999</v>
      </c>
      <c r="G40" s="168">
        <v>1007.321</v>
      </c>
      <c r="H40" s="276">
        <v>1074.098</v>
      </c>
      <c r="I40" s="44">
        <f t="shared" si="1"/>
        <v>20.412658714229995</v>
      </c>
      <c r="J40" s="44">
        <f t="shared" si="2"/>
        <v>0.74177942149680554</v>
      </c>
    </row>
    <row r="41" spans="2:10" x14ac:dyDescent="0.35">
      <c r="B41" s="265">
        <v>33</v>
      </c>
      <c r="C41" s="67" t="s">
        <v>144</v>
      </c>
      <c r="D41" s="57">
        <v>40222.502999999997</v>
      </c>
      <c r="E41" s="171"/>
      <c r="F41" s="171">
        <v>2077.9760000000001</v>
      </c>
      <c r="G41" s="168">
        <v>1039.9659999999999</v>
      </c>
      <c r="H41" s="276">
        <v>1038.01</v>
      </c>
      <c r="I41" s="44">
        <f t="shared" si="1"/>
        <v>5.1662026105138219</v>
      </c>
      <c r="J41" s="44">
        <f t="shared" si="2"/>
        <v>0.74055239966784503</v>
      </c>
    </row>
    <row r="42" spans="2:10" x14ac:dyDescent="0.35">
      <c r="B42" s="265">
        <v>34</v>
      </c>
      <c r="C42" s="67" t="s">
        <v>202</v>
      </c>
      <c r="D42" s="57">
        <v>15893.218999999999</v>
      </c>
      <c r="E42" s="171"/>
      <c r="F42" s="171">
        <v>2034.221</v>
      </c>
      <c r="G42" s="168">
        <v>969.43499999999995</v>
      </c>
      <c r="H42" s="276">
        <v>1064.7860000000001</v>
      </c>
      <c r="I42" s="44">
        <f t="shared" si="1"/>
        <v>12.799301387591777</v>
      </c>
      <c r="J42" s="44">
        <f t="shared" si="2"/>
        <v>0.72495892301197085</v>
      </c>
    </row>
    <row r="43" spans="2:10" x14ac:dyDescent="0.35">
      <c r="B43" s="265">
        <v>35</v>
      </c>
      <c r="C43" s="67" t="s">
        <v>108</v>
      </c>
      <c r="D43" s="57">
        <v>33469.199000000001</v>
      </c>
      <c r="E43" s="171"/>
      <c r="F43" s="171">
        <v>2027.8230000000001</v>
      </c>
      <c r="G43" s="168">
        <v>976.40700000000004</v>
      </c>
      <c r="H43" s="276">
        <v>1051.4159999999999</v>
      </c>
      <c r="I43" s="44">
        <f t="shared" si="1"/>
        <v>6.0587736204861073</v>
      </c>
      <c r="J43" s="44">
        <f t="shared" si="2"/>
        <v>0.72267879357203768</v>
      </c>
    </row>
    <row r="44" spans="2:10" x14ac:dyDescent="0.35">
      <c r="B44" s="265">
        <v>36</v>
      </c>
      <c r="C44" s="67" t="s">
        <v>153</v>
      </c>
      <c r="D44" s="57">
        <v>43851.042999999998</v>
      </c>
      <c r="E44" s="167"/>
      <c r="F44" s="171">
        <v>2022.337</v>
      </c>
      <c r="G44" s="168">
        <v>936.68600000000004</v>
      </c>
      <c r="H44" s="276">
        <v>1085.6510000000001</v>
      </c>
      <c r="I44" s="44">
        <f t="shared" si="1"/>
        <v>4.6118332920838396</v>
      </c>
      <c r="J44" s="44">
        <f t="shared" si="2"/>
        <v>0.72072368414604915</v>
      </c>
    </row>
    <row r="45" spans="2:10" x14ac:dyDescent="0.35">
      <c r="B45" s="265">
        <v>37</v>
      </c>
      <c r="C45" s="67" t="s">
        <v>210</v>
      </c>
      <c r="D45" s="57">
        <v>21413.25</v>
      </c>
      <c r="E45" s="171"/>
      <c r="F45" s="171">
        <v>1960.0250000000001</v>
      </c>
      <c r="G45" s="168">
        <v>831.78800000000001</v>
      </c>
      <c r="H45" s="276">
        <v>1128.2370000000001</v>
      </c>
      <c r="I45" s="44">
        <f t="shared" si="1"/>
        <v>9.1533279628267543</v>
      </c>
      <c r="J45" s="44">
        <f t="shared" si="2"/>
        <v>0.69851683424590461</v>
      </c>
    </row>
    <row r="46" spans="2:10" x14ac:dyDescent="0.35">
      <c r="B46" s="265">
        <v>38</v>
      </c>
      <c r="C46" s="67" t="s">
        <v>119</v>
      </c>
      <c r="D46" s="57">
        <v>212559.40900000001</v>
      </c>
      <c r="E46" s="171"/>
      <c r="F46" s="171">
        <v>1897.1279999999999</v>
      </c>
      <c r="G46" s="168">
        <v>1095.2059999999999</v>
      </c>
      <c r="H46" s="276">
        <v>801.92200000000003</v>
      </c>
      <c r="I46" s="44">
        <f t="shared" si="1"/>
        <v>0.89251659520750726</v>
      </c>
      <c r="J46" s="44">
        <f t="shared" si="2"/>
        <v>0.67610150111313094</v>
      </c>
    </row>
    <row r="47" spans="2:10" x14ac:dyDescent="0.35">
      <c r="B47" s="265">
        <v>39</v>
      </c>
      <c r="C47" s="67" t="s">
        <v>73</v>
      </c>
      <c r="D47" s="57">
        <v>32365.998</v>
      </c>
      <c r="E47" s="171"/>
      <c r="F47" s="171">
        <v>1860.037</v>
      </c>
      <c r="G47" s="168">
        <v>1054.8800000000001</v>
      </c>
      <c r="H47" s="276">
        <v>805.15700000000004</v>
      </c>
      <c r="I47" s="44">
        <f t="shared" si="1"/>
        <v>5.7468859758317974</v>
      </c>
      <c r="J47" s="44">
        <f t="shared" si="2"/>
        <v>0.66288295140125753</v>
      </c>
    </row>
    <row r="48" spans="2:10" x14ac:dyDescent="0.35">
      <c r="B48" s="265">
        <v>40</v>
      </c>
      <c r="C48" s="67" t="s">
        <v>58</v>
      </c>
      <c r="D48" s="57">
        <v>2860.84</v>
      </c>
      <c r="E48" s="171"/>
      <c r="F48" s="171">
        <v>1850.529</v>
      </c>
      <c r="G48" s="168">
        <v>944.84699999999998</v>
      </c>
      <c r="H48" s="276">
        <v>905.68200000000002</v>
      </c>
      <c r="I48" s="44">
        <f t="shared" si="1"/>
        <v>64.684812852169287</v>
      </c>
      <c r="J48" s="44">
        <f t="shared" si="2"/>
        <v>0.65949447520324456</v>
      </c>
    </row>
    <row r="49" spans="2:10" x14ac:dyDescent="0.35">
      <c r="B49" s="265">
        <v>41</v>
      </c>
      <c r="C49" s="67" t="s">
        <v>113</v>
      </c>
      <c r="D49" s="57">
        <v>89561.403999999995</v>
      </c>
      <c r="E49" s="171"/>
      <c r="F49" s="171">
        <v>1832.069</v>
      </c>
      <c r="G49" s="168">
        <v>915.89</v>
      </c>
      <c r="H49" s="276">
        <v>916.17899999999997</v>
      </c>
      <c r="I49" s="44">
        <f t="shared" si="1"/>
        <v>2.0456010269780944</v>
      </c>
      <c r="J49" s="44">
        <f t="shared" si="2"/>
        <v>0.65291567097361525</v>
      </c>
    </row>
    <row r="50" spans="2:10" x14ac:dyDescent="0.35">
      <c r="B50" s="265">
        <v>42</v>
      </c>
      <c r="C50" s="67" t="s">
        <v>231</v>
      </c>
      <c r="D50" s="57">
        <v>11402.532999999999</v>
      </c>
      <c r="E50" s="171"/>
      <c r="F50" s="171">
        <v>1769.671</v>
      </c>
      <c r="G50" s="168">
        <v>804.77499999999998</v>
      </c>
      <c r="H50" s="276">
        <v>964.89599999999996</v>
      </c>
      <c r="I50" s="44">
        <f t="shared" si="1"/>
        <v>15.519981393607896</v>
      </c>
      <c r="J50" s="44">
        <f t="shared" si="2"/>
        <v>0.63067817225636624</v>
      </c>
    </row>
    <row r="51" spans="2:10" x14ac:dyDescent="0.35">
      <c r="B51" s="265">
        <v>43</v>
      </c>
      <c r="C51" s="67" t="s">
        <v>252</v>
      </c>
      <c r="D51" s="57">
        <v>11326.616</v>
      </c>
      <c r="E51" s="171"/>
      <c r="F51" s="171">
        <v>1757.3</v>
      </c>
      <c r="G51" s="168">
        <v>934.59400000000005</v>
      </c>
      <c r="H51" s="276">
        <v>822.70600000000002</v>
      </c>
      <c r="I51" s="44">
        <f t="shared" si="1"/>
        <v>15.514783938998198</v>
      </c>
      <c r="J51" s="44">
        <f t="shared" si="2"/>
        <v>0.62626937555405071</v>
      </c>
    </row>
    <row r="52" spans="2:10" x14ac:dyDescent="0.35">
      <c r="B52" s="265">
        <v>44</v>
      </c>
      <c r="C52" s="67" t="s">
        <v>213</v>
      </c>
      <c r="D52" s="57">
        <v>3280.8150000000001</v>
      </c>
      <c r="E52" s="171"/>
      <c r="F52" s="171">
        <v>1687.6389999999999</v>
      </c>
      <c r="G52" s="168">
        <v>866.90700000000004</v>
      </c>
      <c r="H52" s="276">
        <v>820.73199999999997</v>
      </c>
      <c r="I52" s="44">
        <f t="shared" si="1"/>
        <v>51.439627043889999</v>
      </c>
      <c r="J52" s="44">
        <f t="shared" si="2"/>
        <v>0.60144347731785264</v>
      </c>
    </row>
    <row r="53" spans="2:10" x14ac:dyDescent="0.35">
      <c r="B53" s="265">
        <v>45</v>
      </c>
      <c r="C53" s="67" t="s">
        <v>167</v>
      </c>
      <c r="D53" s="57">
        <v>6948.4449999999997</v>
      </c>
      <c r="E53" s="171"/>
      <c r="F53" s="171">
        <v>1683.0740000000001</v>
      </c>
      <c r="G53" s="168">
        <v>990.21799999999996</v>
      </c>
      <c r="H53" s="276">
        <v>692.85599999999999</v>
      </c>
      <c r="I53" s="44">
        <f t="shared" si="1"/>
        <v>24.222311610727292</v>
      </c>
      <c r="J53" s="44">
        <f t="shared" si="2"/>
        <v>0.59981659534015719</v>
      </c>
    </row>
    <row r="54" spans="2:10" x14ac:dyDescent="0.35">
      <c r="B54" s="265">
        <v>46</v>
      </c>
      <c r="C54" s="67" t="s">
        <v>104</v>
      </c>
      <c r="D54" s="57">
        <v>206139.587</v>
      </c>
      <c r="E54" s="171"/>
      <c r="F54" s="171">
        <v>1670.4549999999999</v>
      </c>
      <c r="G54" s="168">
        <v>792.76800000000003</v>
      </c>
      <c r="H54" s="276">
        <v>877.68700000000001</v>
      </c>
      <c r="I54" s="44">
        <f t="shared" si="1"/>
        <v>0.81035138583061184</v>
      </c>
      <c r="J54" s="44">
        <f t="shared" si="2"/>
        <v>0.59531941600247062</v>
      </c>
    </row>
    <row r="55" spans="2:10" x14ac:dyDescent="0.35">
      <c r="B55" s="265">
        <v>47</v>
      </c>
      <c r="C55" s="67" t="s">
        <v>125</v>
      </c>
      <c r="D55" s="57">
        <v>10847.904</v>
      </c>
      <c r="E55" s="171"/>
      <c r="F55" s="171">
        <v>1608.567</v>
      </c>
      <c r="G55" s="168">
        <v>944.16099999999994</v>
      </c>
      <c r="H55" s="276">
        <v>664.40599999999995</v>
      </c>
      <c r="I55" s="44">
        <f t="shared" si="1"/>
        <v>14.828366843954372</v>
      </c>
      <c r="J55" s="44">
        <f t="shared" si="2"/>
        <v>0.57326367189828287</v>
      </c>
    </row>
    <row r="56" spans="2:10" x14ac:dyDescent="0.35">
      <c r="B56" s="265">
        <v>48</v>
      </c>
      <c r="C56" s="67" t="s">
        <v>123</v>
      </c>
      <c r="D56" s="57">
        <v>20903.277999999998</v>
      </c>
      <c r="E56" s="171"/>
      <c r="F56" s="171">
        <v>1599.347</v>
      </c>
      <c r="G56" s="168">
        <v>705.00800000000004</v>
      </c>
      <c r="H56" s="276">
        <v>894.33900000000006</v>
      </c>
      <c r="I56" s="44">
        <f t="shared" si="1"/>
        <v>7.6511779635710733</v>
      </c>
      <c r="J56" s="44">
        <f t="shared" si="2"/>
        <v>0.56997783359941057</v>
      </c>
    </row>
    <row r="57" spans="2:10" x14ac:dyDescent="0.35">
      <c r="B57" s="265">
        <v>49</v>
      </c>
      <c r="C57" s="67" t="s">
        <v>207</v>
      </c>
      <c r="D57" s="57">
        <v>6486.201</v>
      </c>
      <c r="E57" s="171"/>
      <c r="F57" s="171">
        <v>1599.058</v>
      </c>
      <c r="G57" s="168">
        <v>804.89</v>
      </c>
      <c r="H57" s="276">
        <v>794.16800000000001</v>
      </c>
      <c r="I57" s="44">
        <f t="shared" si="1"/>
        <v>24.653229216917577</v>
      </c>
      <c r="J57" s="44">
        <f t="shared" si="2"/>
        <v>0.56987483931867589</v>
      </c>
    </row>
    <row r="58" spans="2:10" x14ac:dyDescent="0.35">
      <c r="B58" s="265">
        <v>50</v>
      </c>
      <c r="C58" s="67" t="s">
        <v>120</v>
      </c>
      <c r="D58" s="57">
        <v>32971.845999999998</v>
      </c>
      <c r="E58" s="171"/>
      <c r="F58" s="171">
        <v>1519.635</v>
      </c>
      <c r="G58" s="168">
        <v>854.52800000000002</v>
      </c>
      <c r="H58" s="276">
        <v>665.10699999999997</v>
      </c>
      <c r="I58" s="44">
        <f t="shared" si="1"/>
        <v>4.6088866240610242</v>
      </c>
      <c r="J58" s="44">
        <f t="shared" si="2"/>
        <v>0.54156994395952873</v>
      </c>
    </row>
    <row r="59" spans="2:10" x14ac:dyDescent="0.35">
      <c r="B59" s="265">
        <v>51</v>
      </c>
      <c r="C59" s="67" t="s">
        <v>25</v>
      </c>
      <c r="D59" s="57">
        <v>46754.783000000003</v>
      </c>
      <c r="E59" s="171"/>
      <c r="F59" s="171">
        <v>1489.8230000000001</v>
      </c>
      <c r="G59" s="168">
        <v>791.99</v>
      </c>
      <c r="H59" s="276">
        <v>697.83299999999997</v>
      </c>
      <c r="I59" s="44">
        <f t="shared" si="1"/>
        <v>3.1864611584230857</v>
      </c>
      <c r="J59" s="44">
        <f t="shared" si="2"/>
        <v>0.53094549587211204</v>
      </c>
    </row>
    <row r="60" spans="2:10" x14ac:dyDescent="0.35">
      <c r="B60" s="265">
        <v>52</v>
      </c>
      <c r="C60" s="67" t="s">
        <v>110</v>
      </c>
      <c r="D60" s="57">
        <v>9449.3209999999999</v>
      </c>
      <c r="E60" s="171"/>
      <c r="F60" s="171">
        <v>1483.626</v>
      </c>
      <c r="G60" s="168">
        <v>853.60799999999995</v>
      </c>
      <c r="H60" s="276">
        <v>630.01800000000003</v>
      </c>
      <c r="I60" s="44">
        <f t="shared" si="1"/>
        <v>15.70087416863074</v>
      </c>
      <c r="J60" s="44">
        <f t="shared" si="2"/>
        <v>0.5287369991326204</v>
      </c>
    </row>
    <row r="61" spans="2:10" x14ac:dyDescent="0.35">
      <c r="B61" s="265">
        <v>53</v>
      </c>
      <c r="C61" s="67" t="s">
        <v>185</v>
      </c>
      <c r="D61" s="57">
        <v>17915.566999999999</v>
      </c>
      <c r="E61" s="171"/>
      <c r="F61" s="171">
        <v>1368.431</v>
      </c>
      <c r="G61" s="168">
        <v>691.78899999999999</v>
      </c>
      <c r="H61" s="276">
        <v>676.64200000000005</v>
      </c>
      <c r="I61" s="44">
        <f t="shared" si="1"/>
        <v>7.6382232278777451</v>
      </c>
      <c r="J61" s="44">
        <f t="shared" si="2"/>
        <v>0.48768362138439947</v>
      </c>
    </row>
    <row r="62" spans="2:10" x14ac:dyDescent="0.35">
      <c r="B62" s="265">
        <v>54</v>
      </c>
      <c r="C62" s="67" t="s">
        <v>282</v>
      </c>
      <c r="D62" s="57">
        <v>83992.952999999994</v>
      </c>
      <c r="E62" s="168"/>
      <c r="F62" s="171">
        <v>1325.1130000000001</v>
      </c>
      <c r="G62" s="168">
        <v>616.24900000000002</v>
      </c>
      <c r="H62" s="276">
        <v>708.86400000000003</v>
      </c>
      <c r="I62" s="44">
        <f t="shared" si="1"/>
        <v>1.5776478295744647</v>
      </c>
      <c r="J62" s="44">
        <f t="shared" si="2"/>
        <v>0.47224588348520724</v>
      </c>
    </row>
    <row r="63" spans="2:10" x14ac:dyDescent="0.35">
      <c r="B63" s="265">
        <v>55</v>
      </c>
      <c r="C63" s="67" t="s">
        <v>133</v>
      </c>
      <c r="D63" s="57">
        <v>20250.833999999999</v>
      </c>
      <c r="E63" s="167"/>
      <c r="F63" s="171">
        <v>1303.511</v>
      </c>
      <c r="G63" s="168">
        <v>561.45399999999995</v>
      </c>
      <c r="H63" s="276">
        <v>742.05700000000002</v>
      </c>
      <c r="I63" s="44">
        <f t="shared" si="1"/>
        <v>6.4368262561433269</v>
      </c>
      <c r="J63" s="44">
        <f t="shared" si="2"/>
        <v>0.46454732828648276</v>
      </c>
    </row>
    <row r="64" spans="2:10" x14ac:dyDescent="0.35">
      <c r="B64" s="265">
        <v>56</v>
      </c>
      <c r="C64" s="67" t="s">
        <v>141</v>
      </c>
      <c r="D64" s="57">
        <v>29825.968000000001</v>
      </c>
      <c r="E64" s="171"/>
      <c r="F64" s="171">
        <v>1301.1659999999999</v>
      </c>
      <c r="G64" s="168">
        <v>453.86399999999998</v>
      </c>
      <c r="H64" s="276">
        <v>847.30200000000002</v>
      </c>
      <c r="I64" s="44">
        <f t="shared" si="1"/>
        <v>4.3625273117707355</v>
      </c>
      <c r="J64" s="44">
        <f t="shared" si="2"/>
        <v>0.46371161344799516</v>
      </c>
    </row>
    <row r="65" spans="2:10" x14ac:dyDescent="0.35">
      <c r="B65" s="265">
        <v>57</v>
      </c>
      <c r="C65" s="67" t="s">
        <v>204</v>
      </c>
      <c r="D65" s="57">
        <v>7275.5559999999996</v>
      </c>
      <c r="E65" s="171"/>
      <c r="F65" s="171">
        <v>1296.0509999999999</v>
      </c>
      <c r="G65" s="168">
        <v>724.85900000000004</v>
      </c>
      <c r="H65" s="276">
        <v>571.19200000000001</v>
      </c>
      <c r="I65" s="44">
        <f t="shared" si="1"/>
        <v>17.813772583153785</v>
      </c>
      <c r="J65" s="44">
        <f t="shared" si="2"/>
        <v>0.46188872159346889</v>
      </c>
    </row>
    <row r="66" spans="2:10" x14ac:dyDescent="0.35">
      <c r="B66" s="265">
        <v>58</v>
      </c>
      <c r="C66" s="67" t="s">
        <v>23</v>
      </c>
      <c r="D66" s="57">
        <v>37742.156999999999</v>
      </c>
      <c r="E66" s="171"/>
      <c r="F66" s="171">
        <v>1292.329</v>
      </c>
      <c r="G66" s="168">
        <v>793.29100000000005</v>
      </c>
      <c r="H66" s="276">
        <v>499.03800000000001</v>
      </c>
      <c r="I66" s="44">
        <f t="shared" si="1"/>
        <v>3.4240994758195726</v>
      </c>
      <c r="J66" s="44">
        <f t="shared" si="2"/>
        <v>0.46056226929971589</v>
      </c>
    </row>
    <row r="67" spans="2:10" x14ac:dyDescent="0.35">
      <c r="B67" s="265">
        <v>59</v>
      </c>
      <c r="C67" s="67" t="s">
        <v>203</v>
      </c>
      <c r="D67" s="57">
        <v>2877.8</v>
      </c>
      <c r="E67" s="171"/>
      <c r="F67" s="171">
        <v>1250.451</v>
      </c>
      <c r="G67" s="168">
        <v>607.82500000000005</v>
      </c>
      <c r="H67" s="276">
        <v>642.62599999999998</v>
      </c>
      <c r="I67" s="44">
        <f t="shared" si="1"/>
        <v>43.451629717145039</v>
      </c>
      <c r="J67" s="44">
        <f t="shared" si="2"/>
        <v>0.44563772089622616</v>
      </c>
    </row>
    <row r="68" spans="2:10" x14ac:dyDescent="0.35">
      <c r="B68" s="265">
        <v>60</v>
      </c>
      <c r="C68" s="67" t="s">
        <v>137</v>
      </c>
      <c r="D68" s="57">
        <v>14862.927</v>
      </c>
      <c r="E68" s="171"/>
      <c r="F68" s="171">
        <v>1243.3140000000001</v>
      </c>
      <c r="G68" s="168">
        <v>602.14200000000005</v>
      </c>
      <c r="H68" s="276">
        <v>641.17200000000003</v>
      </c>
      <c r="I68" s="44">
        <f t="shared" si="1"/>
        <v>8.3652028971144112</v>
      </c>
      <c r="J68" s="44">
        <f t="shared" si="2"/>
        <v>0.44309422545815114</v>
      </c>
    </row>
    <row r="69" spans="2:10" x14ac:dyDescent="0.35">
      <c r="B69" s="265">
        <v>61</v>
      </c>
      <c r="C69" s="67" t="s">
        <v>151</v>
      </c>
      <c r="D69" s="57">
        <v>10139.174999999999</v>
      </c>
      <c r="E69" s="171"/>
      <c r="F69" s="171">
        <v>1163.922</v>
      </c>
      <c r="G69" s="168">
        <v>540.52200000000005</v>
      </c>
      <c r="H69" s="276">
        <v>623.4</v>
      </c>
      <c r="I69" s="44">
        <f t="shared" si="1"/>
        <v>11.479454689360821</v>
      </c>
      <c r="J69" s="44">
        <f t="shared" si="2"/>
        <v>0.41480037792842528</v>
      </c>
    </row>
    <row r="70" spans="2:10" x14ac:dyDescent="0.35">
      <c r="B70" s="265">
        <v>62</v>
      </c>
      <c r="C70" s="67" t="s">
        <v>322</v>
      </c>
      <c r="D70" s="57">
        <v>4033.9630000000002</v>
      </c>
      <c r="E70" s="171"/>
      <c r="F70" s="171">
        <v>1159.443</v>
      </c>
      <c r="G70" s="168">
        <v>605.12300000000005</v>
      </c>
      <c r="H70" s="276">
        <v>554.32000000000005</v>
      </c>
      <c r="I70" s="44">
        <f t="shared" si="1"/>
        <v>28.742033578394249</v>
      </c>
      <c r="J70" s="44">
        <f t="shared" si="2"/>
        <v>0.41320414476783429</v>
      </c>
    </row>
    <row r="71" spans="2:10" x14ac:dyDescent="0.35">
      <c r="B71" s="265">
        <v>63</v>
      </c>
      <c r="C71" s="67" t="s">
        <v>92</v>
      </c>
      <c r="D71" s="57">
        <v>26378.275000000001</v>
      </c>
      <c r="E71" s="171"/>
      <c r="F71" s="171">
        <v>1149.298</v>
      </c>
      <c r="G71" s="168">
        <v>578.07899999999995</v>
      </c>
      <c r="H71" s="276">
        <v>571.21900000000005</v>
      </c>
      <c r="I71" s="44">
        <f t="shared" si="1"/>
        <v>4.3569869523310372</v>
      </c>
      <c r="J71" s="44">
        <f t="shared" si="2"/>
        <v>0.40958865349429197</v>
      </c>
    </row>
    <row r="72" spans="2:10" x14ac:dyDescent="0.35">
      <c r="B72" s="265">
        <v>64</v>
      </c>
      <c r="C72" s="67" t="s">
        <v>143</v>
      </c>
      <c r="D72" s="57">
        <v>17643.060000000001</v>
      </c>
      <c r="E72" s="171"/>
      <c r="F72" s="171">
        <v>1127.8910000000001</v>
      </c>
      <c r="G72" s="168">
        <v>596.38499999999999</v>
      </c>
      <c r="H72" s="276">
        <v>531.50599999999997</v>
      </c>
      <c r="I72" s="44">
        <f t="shared" ref="I72:I135" si="3">(F72/D72)*100</f>
        <v>6.3928309488263375</v>
      </c>
      <c r="J72" s="44">
        <f t="shared" si="2"/>
        <v>0.40195959270644382</v>
      </c>
    </row>
    <row r="73" spans="2:10" x14ac:dyDescent="0.35">
      <c r="B73" s="265">
        <v>65</v>
      </c>
      <c r="C73" s="67" t="s">
        <v>226</v>
      </c>
      <c r="D73" s="57">
        <v>2961.1610000000001</v>
      </c>
      <c r="E73" s="171"/>
      <c r="F73" s="171">
        <v>1118.931</v>
      </c>
      <c r="G73" s="168">
        <v>643.90899999999999</v>
      </c>
      <c r="H73" s="276">
        <v>475.02199999999999</v>
      </c>
      <c r="I73" s="44">
        <f t="shared" si="3"/>
        <v>37.786901826682168</v>
      </c>
      <c r="J73" s="44">
        <f t="shared" ref="J73:J136" si="4">(F73/$F$8)*100</f>
        <v>0.39876641362207338</v>
      </c>
    </row>
    <row r="74" spans="2:10" x14ac:dyDescent="0.35">
      <c r="B74" s="265">
        <v>66</v>
      </c>
      <c r="C74" s="67" t="s">
        <v>188</v>
      </c>
      <c r="D74" s="57">
        <v>16718.971000000001</v>
      </c>
      <c r="E74" s="171"/>
      <c r="F74" s="171">
        <v>1104.819</v>
      </c>
      <c r="G74" s="168">
        <v>591.81500000000005</v>
      </c>
      <c r="H74" s="276">
        <v>513.00400000000002</v>
      </c>
      <c r="I74" s="44">
        <f t="shared" si="3"/>
        <v>6.608175826131883</v>
      </c>
      <c r="J74" s="44">
        <f t="shared" si="4"/>
        <v>0.39373715656418973</v>
      </c>
    </row>
    <row r="75" spans="2:10" x14ac:dyDescent="0.35">
      <c r="B75" s="265">
        <v>67</v>
      </c>
      <c r="C75" s="67" t="s">
        <v>107</v>
      </c>
      <c r="D75" s="57">
        <v>10423.056</v>
      </c>
      <c r="E75" s="171"/>
      <c r="F75" s="171">
        <v>1088.5070000000001</v>
      </c>
      <c r="G75" s="168">
        <v>521.46600000000001</v>
      </c>
      <c r="H75" s="276">
        <v>567.04100000000005</v>
      </c>
      <c r="I75" s="44">
        <f t="shared" si="3"/>
        <v>10.443261554001053</v>
      </c>
      <c r="J75" s="44">
        <f t="shared" si="4"/>
        <v>0.38792385999898316</v>
      </c>
    </row>
    <row r="76" spans="2:10" x14ac:dyDescent="0.35">
      <c r="B76" s="265">
        <v>68</v>
      </c>
      <c r="C76" s="67" t="s">
        <v>40</v>
      </c>
      <c r="D76" s="57">
        <v>69799.978000000003</v>
      </c>
      <c r="E76" s="171"/>
      <c r="F76" s="171">
        <v>1086.9849999999999</v>
      </c>
      <c r="G76" s="168">
        <v>663.529</v>
      </c>
      <c r="H76" s="276">
        <v>423.45600000000002</v>
      </c>
      <c r="I76" s="44">
        <f t="shared" si="3"/>
        <v>1.5572855911215329</v>
      </c>
      <c r="J76" s="44">
        <f t="shared" si="4"/>
        <v>0.38738144721255313</v>
      </c>
    </row>
    <row r="77" spans="2:10" x14ac:dyDescent="0.35">
      <c r="B77" s="265">
        <v>69</v>
      </c>
      <c r="C77" s="67" t="s">
        <v>82</v>
      </c>
      <c r="D77" s="57">
        <v>45195.777000000002</v>
      </c>
      <c r="E77" s="171"/>
      <c r="F77" s="171">
        <v>1076.1479999999999</v>
      </c>
      <c r="G77" s="168">
        <v>550.25699999999995</v>
      </c>
      <c r="H77" s="276">
        <v>525.89099999999996</v>
      </c>
      <c r="I77" s="44">
        <f t="shared" si="3"/>
        <v>2.3810808695688532</v>
      </c>
      <c r="J77" s="44">
        <f t="shared" si="4"/>
        <v>0.38351933987579834</v>
      </c>
    </row>
    <row r="78" spans="2:10" x14ac:dyDescent="0.35">
      <c r="B78" s="265">
        <v>70</v>
      </c>
      <c r="C78" s="67" t="s">
        <v>79</v>
      </c>
      <c r="D78" s="57">
        <v>4105.268</v>
      </c>
      <c r="E78" s="171"/>
      <c r="F78" s="171">
        <v>1039.5260000000001</v>
      </c>
      <c r="G78" s="168">
        <v>543.99300000000005</v>
      </c>
      <c r="H78" s="276">
        <v>495.53300000000002</v>
      </c>
      <c r="I78" s="44">
        <f t="shared" si="3"/>
        <v>25.321757312799072</v>
      </c>
      <c r="J78" s="44">
        <f t="shared" si="4"/>
        <v>0.37046793313162241</v>
      </c>
    </row>
    <row r="79" spans="2:10" x14ac:dyDescent="0.35">
      <c r="B79" s="265">
        <v>71</v>
      </c>
      <c r="C79" s="67" t="s">
        <v>127</v>
      </c>
      <c r="D79" s="57">
        <v>10708.982</v>
      </c>
      <c r="E79" s="171"/>
      <c r="F79" s="171">
        <v>1026.1079999999999</v>
      </c>
      <c r="G79" s="168">
        <v>589.88</v>
      </c>
      <c r="H79" s="276">
        <v>436.22800000000001</v>
      </c>
      <c r="I79" s="44">
        <f t="shared" si="3"/>
        <v>9.5817510945484816</v>
      </c>
      <c r="J79" s="44">
        <f t="shared" si="4"/>
        <v>0.36568600490013986</v>
      </c>
    </row>
    <row r="80" spans="2:10" x14ac:dyDescent="0.35">
      <c r="B80" s="265">
        <v>72</v>
      </c>
      <c r="C80" s="67" t="s">
        <v>90</v>
      </c>
      <c r="D80" s="57">
        <v>7496.9880000000003</v>
      </c>
      <c r="E80" s="171"/>
      <c r="F80" s="171">
        <v>1007.788</v>
      </c>
      <c r="G80" s="168">
        <v>491.68200000000002</v>
      </c>
      <c r="H80" s="276">
        <v>516.10599999999999</v>
      </c>
      <c r="I80" s="44">
        <f t="shared" si="3"/>
        <v>13.442571870196405</v>
      </c>
      <c r="J80" s="44">
        <f t="shared" si="4"/>
        <v>0.35915709409370378</v>
      </c>
    </row>
    <row r="81" spans="2:10" x14ac:dyDescent="0.35">
      <c r="B81" s="265">
        <v>73</v>
      </c>
      <c r="C81" s="67" t="s">
        <v>134</v>
      </c>
      <c r="D81" s="57">
        <v>31072.945</v>
      </c>
      <c r="E81" s="171"/>
      <c r="F81" s="171">
        <v>1004.324</v>
      </c>
      <c r="G81" s="168">
        <v>474.892</v>
      </c>
      <c r="H81" s="276">
        <v>529.43200000000002</v>
      </c>
      <c r="I81" s="44">
        <f t="shared" si="3"/>
        <v>3.2321493826864494</v>
      </c>
      <c r="J81" s="44">
        <f t="shared" si="4"/>
        <v>0.35792258825126405</v>
      </c>
    </row>
    <row r="82" spans="2:10" x14ac:dyDescent="0.35">
      <c r="B82" s="265">
        <v>74</v>
      </c>
      <c r="C82" s="67" t="s">
        <v>80</v>
      </c>
      <c r="D82" s="57">
        <v>8737.3700000000008</v>
      </c>
      <c r="E82" s="171"/>
      <c r="F82" s="171">
        <v>1003.962</v>
      </c>
      <c r="G82" s="168">
        <v>506.39800000000002</v>
      </c>
      <c r="H82" s="276">
        <v>497.56400000000002</v>
      </c>
      <c r="I82" s="44">
        <f t="shared" si="3"/>
        <v>11.490437053712958</v>
      </c>
      <c r="J82" s="44">
        <f t="shared" si="4"/>
        <v>0.35779357811415002</v>
      </c>
    </row>
    <row r="83" spans="2:10" x14ac:dyDescent="0.35">
      <c r="B83" s="265">
        <v>75</v>
      </c>
      <c r="C83" s="67" t="s">
        <v>211</v>
      </c>
      <c r="D83" s="57">
        <v>9904.6080000000002</v>
      </c>
      <c r="E83" s="171"/>
      <c r="F83" s="171">
        <v>985.077</v>
      </c>
      <c r="G83" s="168">
        <v>584.00400000000002</v>
      </c>
      <c r="H83" s="276">
        <v>401.07299999999998</v>
      </c>
      <c r="I83" s="44">
        <f t="shared" si="3"/>
        <v>9.9456434823064175</v>
      </c>
      <c r="J83" s="44">
        <f t="shared" si="4"/>
        <v>0.35106331170696953</v>
      </c>
    </row>
    <row r="84" spans="2:10" x14ac:dyDescent="0.35">
      <c r="B84" s="265">
        <v>76</v>
      </c>
      <c r="C84" s="67" t="s">
        <v>95</v>
      </c>
      <c r="D84" s="57">
        <v>17134.873</v>
      </c>
      <c r="E84" s="171"/>
      <c r="F84" s="171">
        <v>970.40300000000002</v>
      </c>
      <c r="G84" s="168">
        <v>485.66399999999999</v>
      </c>
      <c r="H84" s="276">
        <v>484.73899999999998</v>
      </c>
      <c r="I84" s="44">
        <f t="shared" si="3"/>
        <v>5.6633218116060746</v>
      </c>
      <c r="J84" s="44">
        <f t="shared" si="4"/>
        <v>0.34583376819312434</v>
      </c>
    </row>
    <row r="85" spans="2:10" x14ac:dyDescent="0.35">
      <c r="B85" s="265">
        <v>77</v>
      </c>
      <c r="C85" s="67" t="s">
        <v>162</v>
      </c>
      <c r="D85" s="57">
        <v>2963.2339999999999</v>
      </c>
      <c r="E85" s="171"/>
      <c r="F85" s="171">
        <v>958.19</v>
      </c>
      <c r="G85" s="168">
        <v>444.75299999999999</v>
      </c>
      <c r="H85" s="276">
        <v>513.43700000000001</v>
      </c>
      <c r="I85" s="44">
        <f t="shared" si="3"/>
        <v>32.335954568555842</v>
      </c>
      <c r="J85" s="44">
        <f t="shared" si="4"/>
        <v>0.34148127978269832</v>
      </c>
    </row>
    <row r="86" spans="2:10" x14ac:dyDescent="0.35">
      <c r="B86" s="265">
        <v>78</v>
      </c>
      <c r="C86" s="67" t="s">
        <v>105</v>
      </c>
      <c r="D86" s="57">
        <v>114963.583</v>
      </c>
      <c r="E86" s="171"/>
      <c r="F86" s="171">
        <v>946.12900000000002</v>
      </c>
      <c r="G86" s="168">
        <v>435.86700000000002</v>
      </c>
      <c r="H86" s="276">
        <v>510.262</v>
      </c>
      <c r="I86" s="44">
        <f t="shared" si="3"/>
        <v>0.82298148275354288</v>
      </c>
      <c r="J86" s="44">
        <f t="shared" si="4"/>
        <v>0.33718296137459647</v>
      </c>
    </row>
    <row r="87" spans="2:10" x14ac:dyDescent="0.35">
      <c r="B87" s="265">
        <v>79</v>
      </c>
      <c r="C87" s="67" t="s">
        <v>275</v>
      </c>
      <c r="D87" s="57">
        <v>11673.029</v>
      </c>
      <c r="E87" s="171"/>
      <c r="F87" s="171">
        <v>927.24400000000003</v>
      </c>
      <c r="G87" s="168">
        <v>491.90899999999999</v>
      </c>
      <c r="H87" s="276">
        <v>435.33499999999998</v>
      </c>
      <c r="I87" s="44">
        <f t="shared" si="3"/>
        <v>7.9434737975892968</v>
      </c>
      <c r="J87" s="44">
        <f t="shared" si="4"/>
        <v>0.33045269496741597</v>
      </c>
    </row>
    <row r="88" spans="2:10" x14ac:dyDescent="0.35">
      <c r="B88" s="265">
        <v>80</v>
      </c>
      <c r="C88" s="67" t="s">
        <v>72</v>
      </c>
      <c r="D88" s="57">
        <v>59308.69</v>
      </c>
      <c r="E88" s="171"/>
      <c r="F88" s="171">
        <v>914.90099999999995</v>
      </c>
      <c r="G88" s="168">
        <v>463.26299999999998</v>
      </c>
      <c r="H88" s="276">
        <v>451.63799999999998</v>
      </c>
      <c r="I88" s="44">
        <f t="shared" si="3"/>
        <v>1.5426086801107897</v>
      </c>
      <c r="J88" s="44">
        <f t="shared" si="4"/>
        <v>0.32605387694973909</v>
      </c>
    </row>
    <row r="89" spans="2:10" x14ac:dyDescent="0.35">
      <c r="B89" s="265">
        <v>81</v>
      </c>
      <c r="C89" s="67" t="s">
        <v>326</v>
      </c>
      <c r="D89" s="57">
        <v>11818.618</v>
      </c>
      <c r="E89" s="171"/>
      <c r="F89" s="171">
        <v>902.26800000000003</v>
      </c>
      <c r="G89" s="168">
        <v>399.86399999999998</v>
      </c>
      <c r="H89" s="276">
        <v>502.404</v>
      </c>
      <c r="I89" s="44">
        <f t="shared" si="3"/>
        <v>7.6342936204554537</v>
      </c>
      <c r="J89" s="44">
        <f t="shared" si="4"/>
        <v>0.32155170826973323</v>
      </c>
    </row>
    <row r="90" spans="2:10" x14ac:dyDescent="0.35">
      <c r="B90" s="265">
        <v>82</v>
      </c>
      <c r="C90" s="67" t="s">
        <v>168</v>
      </c>
      <c r="D90" s="57">
        <v>7132.53</v>
      </c>
      <c r="E90" s="171"/>
      <c r="F90" s="171">
        <v>896.48400000000004</v>
      </c>
      <c r="G90" s="168">
        <v>511.67599999999999</v>
      </c>
      <c r="H90" s="276">
        <v>384.80799999999999</v>
      </c>
      <c r="I90" s="44">
        <f t="shared" si="3"/>
        <v>12.568948185286288</v>
      </c>
      <c r="J90" s="44">
        <f t="shared" si="4"/>
        <v>0.3194903971286619</v>
      </c>
    </row>
    <row r="91" spans="2:10" x14ac:dyDescent="0.35">
      <c r="B91" s="265">
        <v>83</v>
      </c>
      <c r="C91" s="67" t="s">
        <v>187</v>
      </c>
      <c r="D91" s="57">
        <v>3989.1750000000002</v>
      </c>
      <c r="E91" s="171"/>
      <c r="F91" s="171">
        <v>861.077</v>
      </c>
      <c r="G91" s="168">
        <v>432.28300000000002</v>
      </c>
      <c r="H91" s="276">
        <v>428.79399999999998</v>
      </c>
      <c r="I91" s="44">
        <f t="shared" si="3"/>
        <v>21.585340327260649</v>
      </c>
      <c r="J91" s="44">
        <f t="shared" si="4"/>
        <v>0.30687199402148485</v>
      </c>
    </row>
    <row r="92" spans="2:10" x14ac:dyDescent="0.35">
      <c r="B92" s="265">
        <v>84</v>
      </c>
      <c r="C92" s="67" t="s">
        <v>101</v>
      </c>
      <c r="D92" s="57">
        <v>6825.442</v>
      </c>
      <c r="E92" s="171"/>
      <c r="F92" s="171">
        <v>856.81399999999996</v>
      </c>
      <c r="G92" s="168">
        <v>349.91500000000002</v>
      </c>
      <c r="H92" s="276">
        <v>506.899</v>
      </c>
      <c r="I92" s="44">
        <f t="shared" si="3"/>
        <v>12.553238310427368</v>
      </c>
      <c r="J92" s="44">
        <f t="shared" si="4"/>
        <v>0.30535273928524914</v>
      </c>
    </row>
    <row r="93" spans="2:10" x14ac:dyDescent="0.35">
      <c r="B93" s="265">
        <v>85</v>
      </c>
      <c r="C93" s="67" t="s">
        <v>181</v>
      </c>
      <c r="D93" s="57">
        <v>4829.7640000000001</v>
      </c>
      <c r="E93" s="171"/>
      <c r="F93" s="171">
        <v>816.66800000000001</v>
      </c>
      <c r="G93" s="168">
        <v>407.18200000000002</v>
      </c>
      <c r="H93" s="276">
        <v>409.48599999999999</v>
      </c>
      <c r="I93" s="44">
        <f t="shared" si="3"/>
        <v>16.909066364319251</v>
      </c>
      <c r="J93" s="44">
        <f t="shared" si="4"/>
        <v>0.29104544380297925</v>
      </c>
    </row>
    <row r="94" spans="2:10" x14ac:dyDescent="0.35">
      <c r="B94" s="265">
        <v>86</v>
      </c>
      <c r="C94" s="67" t="s">
        <v>281</v>
      </c>
      <c r="D94" s="57">
        <v>10203.14</v>
      </c>
      <c r="E94" s="171"/>
      <c r="F94" s="171">
        <v>814.90899999999999</v>
      </c>
      <c r="G94" s="168">
        <v>297.95499999999998</v>
      </c>
      <c r="H94" s="276">
        <v>516.95399999999995</v>
      </c>
      <c r="I94" s="44">
        <f t="shared" si="3"/>
        <v>7.9868452260774632</v>
      </c>
      <c r="J94" s="44">
        <f t="shared" si="4"/>
        <v>0.29041856857871501</v>
      </c>
    </row>
    <row r="95" spans="2:10" x14ac:dyDescent="0.35">
      <c r="B95" s="265">
        <v>87</v>
      </c>
      <c r="C95" s="67" t="s">
        <v>93</v>
      </c>
      <c r="D95" s="57">
        <v>126476.458</v>
      </c>
      <c r="E95" s="171"/>
      <c r="F95" s="171">
        <v>808.82500000000005</v>
      </c>
      <c r="G95" s="168">
        <v>445.89499999999998</v>
      </c>
      <c r="H95" s="276">
        <v>362.93</v>
      </c>
      <c r="I95" s="44">
        <f t="shared" si="3"/>
        <v>0.63950636568269492</v>
      </c>
      <c r="J95" s="44">
        <f t="shared" si="4"/>
        <v>0.28825034295937235</v>
      </c>
    </row>
    <row r="96" spans="2:10" x14ac:dyDescent="0.35">
      <c r="B96" s="265">
        <v>88</v>
      </c>
      <c r="C96" s="67" t="s">
        <v>111</v>
      </c>
      <c r="D96" s="57">
        <v>4822.2330000000002</v>
      </c>
      <c r="E96" s="171"/>
      <c r="F96" s="171">
        <v>806.15899999999999</v>
      </c>
      <c r="G96" s="168">
        <v>399.42599999999999</v>
      </c>
      <c r="H96" s="276">
        <v>406.733</v>
      </c>
      <c r="I96" s="44">
        <f t="shared" si="3"/>
        <v>16.717545585209177</v>
      </c>
      <c r="J96" s="44">
        <f t="shared" si="4"/>
        <v>0.28730022962913443</v>
      </c>
    </row>
    <row r="97" spans="2:10" x14ac:dyDescent="0.35">
      <c r="B97" s="265">
        <v>89</v>
      </c>
      <c r="C97" s="67" t="s">
        <v>232</v>
      </c>
      <c r="D97" s="57">
        <v>3546.4270000000001</v>
      </c>
      <c r="E97" s="171"/>
      <c r="F97" s="171">
        <v>802.822</v>
      </c>
      <c r="G97" s="168">
        <v>379.94099999999997</v>
      </c>
      <c r="H97" s="276">
        <v>422.88099999999997</v>
      </c>
      <c r="I97" s="44">
        <f t="shared" si="3"/>
        <v>22.63748837914893</v>
      </c>
      <c r="J97" s="44">
        <f t="shared" si="4"/>
        <v>0.28611098424916298</v>
      </c>
    </row>
    <row r="98" spans="2:10" x14ac:dyDescent="0.35">
      <c r="B98" s="265">
        <v>90</v>
      </c>
      <c r="C98" s="67" t="s">
        <v>103</v>
      </c>
      <c r="D98" s="57">
        <v>45741</v>
      </c>
      <c r="E98" s="171"/>
      <c r="F98" s="171">
        <v>781.44</v>
      </c>
      <c r="G98" s="168">
        <v>408.70499999999998</v>
      </c>
      <c r="H98" s="276">
        <v>372.73500000000001</v>
      </c>
      <c r="I98" s="44">
        <f t="shared" si="3"/>
        <v>1.7084016527841546</v>
      </c>
      <c r="J98" s="44">
        <f t="shared" si="4"/>
        <v>0.27849083300117078</v>
      </c>
    </row>
    <row r="99" spans="2:10" x14ac:dyDescent="0.35">
      <c r="B99" s="265">
        <v>91</v>
      </c>
      <c r="C99" s="67" t="s">
        <v>158</v>
      </c>
      <c r="D99" s="57">
        <v>6524.1909999999998</v>
      </c>
      <c r="E99" s="171"/>
      <c r="F99" s="171">
        <v>774.37699999999995</v>
      </c>
      <c r="G99" s="168">
        <v>406.11099999999999</v>
      </c>
      <c r="H99" s="276">
        <v>368.26600000000002</v>
      </c>
      <c r="I99" s="44">
        <f t="shared" si="3"/>
        <v>11.869318356866009</v>
      </c>
      <c r="J99" s="44">
        <f t="shared" si="4"/>
        <v>0.27597370980106928</v>
      </c>
    </row>
    <row r="100" spans="2:10" x14ac:dyDescent="0.35">
      <c r="B100" s="265">
        <v>92</v>
      </c>
      <c r="C100" s="67" t="s">
        <v>117</v>
      </c>
      <c r="D100" s="57">
        <v>4937.7960000000003</v>
      </c>
      <c r="E100" s="171"/>
      <c r="F100" s="171">
        <v>734.31700000000001</v>
      </c>
      <c r="G100" s="168">
        <v>392.71</v>
      </c>
      <c r="H100" s="276">
        <v>341.60700000000003</v>
      </c>
      <c r="I100" s="44">
        <f t="shared" si="3"/>
        <v>14.871351509863914</v>
      </c>
      <c r="J100" s="44">
        <f t="shared" si="4"/>
        <v>0.26169706313590385</v>
      </c>
    </row>
    <row r="101" spans="2:10" x14ac:dyDescent="0.35">
      <c r="B101" s="265">
        <v>93</v>
      </c>
      <c r="C101" s="67" t="s">
        <v>208</v>
      </c>
      <c r="D101" s="57">
        <v>6624.5540000000001</v>
      </c>
      <c r="E101" s="171"/>
      <c r="F101" s="171">
        <v>718.154</v>
      </c>
      <c r="G101" s="168">
        <v>379.666</v>
      </c>
      <c r="H101" s="276">
        <v>338.488</v>
      </c>
      <c r="I101" s="44">
        <f t="shared" si="3"/>
        <v>10.840790187535644</v>
      </c>
      <c r="J101" s="44">
        <f t="shared" si="4"/>
        <v>0.25593686742823857</v>
      </c>
    </row>
    <row r="102" spans="2:10" x14ac:dyDescent="0.35">
      <c r="B102" s="265">
        <v>94</v>
      </c>
      <c r="C102" s="67" t="s">
        <v>129</v>
      </c>
      <c r="D102" s="57">
        <v>9660.35</v>
      </c>
      <c r="E102" s="171"/>
      <c r="F102" s="171">
        <v>714.42</v>
      </c>
      <c r="G102" s="168">
        <v>361.92500000000001</v>
      </c>
      <c r="H102" s="276">
        <v>352.495</v>
      </c>
      <c r="I102" s="44">
        <f t="shared" si="3"/>
        <v>7.3953842252092308</v>
      </c>
      <c r="J102" s="44">
        <f t="shared" si="4"/>
        <v>0.25460613855535469</v>
      </c>
    </row>
    <row r="103" spans="2:10" x14ac:dyDescent="0.35">
      <c r="B103" s="265">
        <v>95</v>
      </c>
      <c r="C103" s="67" t="s">
        <v>91</v>
      </c>
      <c r="D103" s="57">
        <v>8654.6180000000004</v>
      </c>
      <c r="E103" s="171"/>
      <c r="F103" s="171">
        <v>713.62300000000005</v>
      </c>
      <c r="G103" s="168">
        <v>387.024</v>
      </c>
      <c r="H103" s="276">
        <v>326.59899999999999</v>
      </c>
      <c r="I103" s="44">
        <f t="shared" si="3"/>
        <v>8.2455747902449303</v>
      </c>
      <c r="J103" s="44">
        <f t="shared" si="4"/>
        <v>0.25432210242474723</v>
      </c>
    </row>
    <row r="104" spans="2:10" x14ac:dyDescent="0.35">
      <c r="B104" s="265">
        <v>96</v>
      </c>
      <c r="C104" s="67" t="s">
        <v>169</v>
      </c>
      <c r="D104" s="57">
        <v>2083.38</v>
      </c>
      <c r="E104" s="171"/>
      <c r="F104" s="171">
        <v>693.89599999999996</v>
      </c>
      <c r="G104" s="168">
        <v>336.15699999999998</v>
      </c>
      <c r="H104" s="276">
        <v>357.73899999999998</v>
      </c>
      <c r="I104" s="44">
        <f t="shared" si="3"/>
        <v>33.306261939732543</v>
      </c>
      <c r="J104" s="44">
        <f t="shared" si="4"/>
        <v>0.24729176271521849</v>
      </c>
    </row>
    <row r="105" spans="2:10" x14ac:dyDescent="0.35">
      <c r="B105" s="265">
        <v>97</v>
      </c>
      <c r="C105" s="67" t="s">
        <v>149</v>
      </c>
      <c r="D105" s="57">
        <v>16743.93</v>
      </c>
      <c r="E105" s="171"/>
      <c r="F105" s="171">
        <v>693.76499999999999</v>
      </c>
      <c r="G105" s="168">
        <v>263.32299999999998</v>
      </c>
      <c r="H105" s="276">
        <v>430.44200000000001</v>
      </c>
      <c r="I105" s="44">
        <f t="shared" si="3"/>
        <v>4.1433821092180869</v>
      </c>
      <c r="J105" s="44">
        <f t="shared" si="4"/>
        <v>0.24724507672637336</v>
      </c>
    </row>
    <row r="106" spans="2:10" x14ac:dyDescent="0.35">
      <c r="B106" s="265">
        <v>98</v>
      </c>
      <c r="C106" s="67" t="s">
        <v>140</v>
      </c>
      <c r="D106" s="57">
        <v>12123.198</v>
      </c>
      <c r="E106" s="171"/>
      <c r="F106" s="171">
        <v>681.827</v>
      </c>
      <c r="G106" s="168">
        <v>316.48899999999998</v>
      </c>
      <c r="H106" s="276">
        <v>365.33800000000002</v>
      </c>
      <c r="I106" s="44">
        <f t="shared" si="3"/>
        <v>5.6241513171689519</v>
      </c>
      <c r="J106" s="44">
        <f t="shared" si="4"/>
        <v>0.24299059325436279</v>
      </c>
    </row>
    <row r="107" spans="2:10" x14ac:dyDescent="0.35">
      <c r="B107" s="265">
        <v>99</v>
      </c>
      <c r="C107" s="67" t="s">
        <v>124</v>
      </c>
      <c r="D107" s="57">
        <v>32866.267999999996</v>
      </c>
      <c r="E107" s="171"/>
      <c r="F107" s="171">
        <v>668.06600000000003</v>
      </c>
      <c r="G107" s="168">
        <v>333.68</v>
      </c>
      <c r="H107" s="276">
        <v>334.38600000000002</v>
      </c>
      <c r="I107" s="44">
        <f t="shared" si="3"/>
        <v>2.0326798284490351</v>
      </c>
      <c r="J107" s="44">
        <f t="shared" si="4"/>
        <v>0.23808642613605668</v>
      </c>
    </row>
    <row r="108" spans="2:10" x14ac:dyDescent="0.35">
      <c r="B108" s="265">
        <v>100</v>
      </c>
      <c r="C108" s="67" t="s">
        <v>173</v>
      </c>
      <c r="D108" s="57">
        <v>2722.2910000000002</v>
      </c>
      <c r="E108" s="171"/>
      <c r="F108" s="171">
        <v>658.05700000000002</v>
      </c>
      <c r="G108" s="168">
        <v>369.40499999999997</v>
      </c>
      <c r="H108" s="276">
        <v>288.65199999999999</v>
      </c>
      <c r="I108" s="44">
        <f t="shared" si="3"/>
        <v>24.172911712965291</v>
      </c>
      <c r="J108" s="44">
        <f t="shared" si="4"/>
        <v>0.23451940275933075</v>
      </c>
    </row>
    <row r="109" spans="2:10" x14ac:dyDescent="0.35">
      <c r="B109" s="265">
        <v>101</v>
      </c>
      <c r="C109" s="67" t="s">
        <v>81</v>
      </c>
      <c r="D109" s="57">
        <v>19116.208999999999</v>
      </c>
      <c r="E109" s="167"/>
      <c r="F109" s="171">
        <v>643.79999999999995</v>
      </c>
      <c r="G109" s="168">
        <v>337.596</v>
      </c>
      <c r="H109" s="276">
        <v>306.20400000000001</v>
      </c>
      <c r="I109" s="44">
        <f t="shared" si="3"/>
        <v>3.367822563563728</v>
      </c>
      <c r="J109" s="44">
        <f t="shared" si="4"/>
        <v>0.2294384703702827</v>
      </c>
    </row>
    <row r="110" spans="2:10" x14ac:dyDescent="0.35">
      <c r="B110" s="265">
        <v>102</v>
      </c>
      <c r="C110" s="67" t="s">
        <v>145</v>
      </c>
      <c r="D110" s="57">
        <v>31255.435000000001</v>
      </c>
      <c r="E110" s="171"/>
      <c r="F110" s="171">
        <v>640.16</v>
      </c>
      <c r="G110" s="168">
        <v>254.22</v>
      </c>
      <c r="H110" s="276">
        <v>385.94</v>
      </c>
      <c r="I110" s="44">
        <f t="shared" si="3"/>
        <v>2.0481557847459171</v>
      </c>
      <c r="J110" s="44">
        <f t="shared" si="4"/>
        <v>0.22814124136725719</v>
      </c>
    </row>
    <row r="111" spans="2:10" x14ac:dyDescent="0.35">
      <c r="B111" s="265">
        <v>103</v>
      </c>
      <c r="C111" s="67" t="s">
        <v>102</v>
      </c>
      <c r="D111" s="57">
        <v>9006.4</v>
      </c>
      <c r="E111" s="171"/>
      <c r="F111" s="171">
        <v>600.74</v>
      </c>
      <c r="G111" s="168">
        <v>319.41699999999997</v>
      </c>
      <c r="H111" s="276">
        <v>281.32299999999998</v>
      </c>
      <c r="I111" s="44">
        <f t="shared" si="3"/>
        <v>6.6701456741872445</v>
      </c>
      <c r="J111" s="44">
        <f t="shared" si="4"/>
        <v>0.21409267892240391</v>
      </c>
    </row>
    <row r="112" spans="2:10" x14ac:dyDescent="0.35">
      <c r="B112" s="265">
        <v>104</v>
      </c>
      <c r="C112" s="67" t="s">
        <v>28</v>
      </c>
      <c r="D112" s="57">
        <v>25499.881000000001</v>
      </c>
      <c r="E112" s="171"/>
      <c r="F112" s="171">
        <v>598.76499999999999</v>
      </c>
      <c r="G112" s="168">
        <v>311.65600000000001</v>
      </c>
      <c r="H112" s="276">
        <v>287.10899999999998</v>
      </c>
      <c r="I112" s="44">
        <f t="shared" si="3"/>
        <v>2.3481089970576723</v>
      </c>
      <c r="J112" s="44">
        <f t="shared" si="4"/>
        <v>0.21338882527378428</v>
      </c>
    </row>
    <row r="113" spans="2:10" x14ac:dyDescent="0.35">
      <c r="B113" s="265">
        <v>105</v>
      </c>
      <c r="C113" s="67" t="s">
        <v>150</v>
      </c>
      <c r="D113" s="57">
        <v>9537.6419999999998</v>
      </c>
      <c r="E113" s="171"/>
      <c r="F113" s="171">
        <v>586.851</v>
      </c>
      <c r="G113" s="168">
        <v>249.458</v>
      </c>
      <c r="H113" s="276">
        <v>337.39299999999997</v>
      </c>
      <c r="I113" s="44">
        <f t="shared" si="3"/>
        <v>6.1529988229795158</v>
      </c>
      <c r="J113" s="44">
        <f t="shared" si="4"/>
        <v>0.20914289496003538</v>
      </c>
    </row>
    <row r="114" spans="2:10" x14ac:dyDescent="0.35">
      <c r="B114" s="265">
        <v>106</v>
      </c>
      <c r="C114" s="67" t="s">
        <v>99</v>
      </c>
      <c r="D114" s="57">
        <v>11589.616</v>
      </c>
      <c r="E114" s="171"/>
      <c r="F114" s="171">
        <v>577.46299999999997</v>
      </c>
      <c r="G114" s="168">
        <v>300.709</v>
      </c>
      <c r="H114" s="276">
        <v>276.75400000000002</v>
      </c>
      <c r="I114" s="44">
        <f t="shared" si="3"/>
        <v>4.9825895870924448</v>
      </c>
      <c r="J114" s="44">
        <f t="shared" si="4"/>
        <v>0.2057971845533311</v>
      </c>
    </row>
    <row r="115" spans="2:10" x14ac:dyDescent="0.35">
      <c r="B115" s="265">
        <v>107</v>
      </c>
      <c r="C115" s="67" t="s">
        <v>146</v>
      </c>
      <c r="D115" s="57">
        <v>11890.781000000001</v>
      </c>
      <c r="E115" s="171"/>
      <c r="F115" s="171">
        <v>551.10500000000002</v>
      </c>
      <c r="G115" s="168">
        <v>276.19200000000001</v>
      </c>
      <c r="H115" s="276">
        <v>274.91300000000001</v>
      </c>
      <c r="I115" s="44">
        <f t="shared" si="3"/>
        <v>4.634725002504041</v>
      </c>
      <c r="J115" s="44">
        <f t="shared" si="4"/>
        <v>0.19640367849241172</v>
      </c>
    </row>
    <row r="116" spans="2:10" x14ac:dyDescent="0.35">
      <c r="B116" s="265">
        <v>108</v>
      </c>
      <c r="C116" s="67" t="s">
        <v>171</v>
      </c>
      <c r="D116" s="57">
        <v>13132.791999999999</v>
      </c>
      <c r="E116" s="171"/>
      <c r="F116" s="171">
        <v>550.79</v>
      </c>
      <c r="G116" s="168">
        <v>238.72800000000001</v>
      </c>
      <c r="H116" s="276">
        <v>312.06200000000001</v>
      </c>
      <c r="I116" s="44">
        <f t="shared" si="3"/>
        <v>4.1940053569720739</v>
      </c>
      <c r="J116" s="44">
        <f t="shared" si="4"/>
        <v>0.19629141829022681</v>
      </c>
    </row>
    <row r="117" spans="2:10" x14ac:dyDescent="0.35">
      <c r="B117" s="265">
        <v>109</v>
      </c>
      <c r="C117" s="67" t="s">
        <v>274</v>
      </c>
      <c r="D117" s="57">
        <v>8278.7369999999992</v>
      </c>
      <c r="E117" s="171"/>
      <c r="F117" s="171">
        <v>545.40899999999999</v>
      </c>
      <c r="G117" s="168">
        <v>273.887</v>
      </c>
      <c r="H117" s="276">
        <v>271.52199999999999</v>
      </c>
      <c r="I117" s="44">
        <f t="shared" si="3"/>
        <v>6.5880701367853582</v>
      </c>
      <c r="J117" s="44">
        <f t="shared" si="4"/>
        <v>0.19437372893163332</v>
      </c>
    </row>
    <row r="118" spans="2:10" x14ac:dyDescent="0.35">
      <c r="B118" s="265">
        <v>110</v>
      </c>
      <c r="C118" s="67" t="s">
        <v>112</v>
      </c>
      <c r="D118" s="57">
        <v>53771.3</v>
      </c>
      <c r="E118" s="171"/>
      <c r="F118" s="171">
        <v>535.34799999999996</v>
      </c>
      <c r="G118" s="168">
        <v>282.589</v>
      </c>
      <c r="H118" s="276">
        <v>252.75899999999999</v>
      </c>
      <c r="I118" s="44">
        <f t="shared" si="3"/>
        <v>0.99560174293721726</v>
      </c>
      <c r="J118" s="44">
        <f t="shared" si="4"/>
        <v>0.19078817371200699</v>
      </c>
    </row>
    <row r="119" spans="2:10" x14ac:dyDescent="0.35">
      <c r="B119" s="265">
        <v>111</v>
      </c>
      <c r="C119" s="67" t="s">
        <v>126</v>
      </c>
      <c r="D119" s="57">
        <v>12952.209000000001</v>
      </c>
      <c r="E119" s="171"/>
      <c r="F119" s="171">
        <v>492.48899999999998</v>
      </c>
      <c r="G119" s="168">
        <v>251.30199999999999</v>
      </c>
      <c r="H119" s="276">
        <v>241.18700000000001</v>
      </c>
      <c r="I119" s="44">
        <f t="shared" si="3"/>
        <v>3.80235525847367</v>
      </c>
      <c r="J119" s="44">
        <f t="shared" si="4"/>
        <v>0.17551401496456998</v>
      </c>
    </row>
    <row r="120" spans="2:10" x14ac:dyDescent="0.35">
      <c r="B120" s="265">
        <v>112</v>
      </c>
      <c r="C120" s="67" t="s">
        <v>131</v>
      </c>
      <c r="D120" s="57">
        <v>26545.864000000001</v>
      </c>
      <c r="E120" s="171"/>
      <c r="F120" s="171">
        <v>441.01499999999999</v>
      </c>
      <c r="G120" s="168">
        <v>221.636</v>
      </c>
      <c r="H120" s="276">
        <v>219.37899999999999</v>
      </c>
      <c r="I120" s="44">
        <f t="shared" si="3"/>
        <v>1.6613322512313029</v>
      </c>
      <c r="J120" s="44">
        <f t="shared" si="4"/>
        <v>0.15716962878277452</v>
      </c>
    </row>
    <row r="121" spans="2:10" x14ac:dyDescent="0.35">
      <c r="B121" s="265">
        <v>113</v>
      </c>
      <c r="C121" s="67" t="s">
        <v>233</v>
      </c>
      <c r="D121" s="57">
        <v>786.55899999999997</v>
      </c>
      <c r="E121" s="171"/>
      <c r="F121" s="171">
        <v>438.41300000000001</v>
      </c>
      <c r="G121" s="168">
        <v>237.18100000000001</v>
      </c>
      <c r="H121" s="276">
        <v>201.232</v>
      </c>
      <c r="I121" s="44">
        <f t="shared" si="3"/>
        <v>55.738094662955994</v>
      </c>
      <c r="J121" s="44">
        <f t="shared" si="4"/>
        <v>0.1562423238745678</v>
      </c>
    </row>
    <row r="122" spans="2:10" x14ac:dyDescent="0.35">
      <c r="B122" s="265">
        <v>114</v>
      </c>
      <c r="C122" s="67" t="s">
        <v>163</v>
      </c>
      <c r="D122" s="57">
        <v>5459.643</v>
      </c>
      <c r="E122" s="171"/>
      <c r="F122" s="171">
        <v>419.65100000000001</v>
      </c>
      <c r="G122" s="168">
        <v>224.08699999999999</v>
      </c>
      <c r="H122" s="276">
        <v>195.56399999999999</v>
      </c>
      <c r="I122" s="44">
        <f t="shared" si="3"/>
        <v>7.6864183244215791</v>
      </c>
      <c r="J122" s="44">
        <f t="shared" si="4"/>
        <v>0.14955589240347858</v>
      </c>
    </row>
    <row r="123" spans="2:10" x14ac:dyDescent="0.35">
      <c r="B123" s="265">
        <v>115</v>
      </c>
      <c r="C123" s="67" t="s">
        <v>147</v>
      </c>
      <c r="D123" s="57">
        <v>24206.635999999999</v>
      </c>
      <c r="E123" s="171"/>
      <c r="F123" s="171">
        <v>399.70699999999999</v>
      </c>
      <c r="G123" s="168">
        <v>163.39099999999999</v>
      </c>
      <c r="H123" s="276">
        <v>236.316</v>
      </c>
      <c r="I123" s="44">
        <f t="shared" si="3"/>
        <v>1.651229026618982</v>
      </c>
      <c r="J123" s="44">
        <f t="shared" si="4"/>
        <v>0.1424482178880003</v>
      </c>
    </row>
    <row r="124" spans="2:10" x14ac:dyDescent="0.35">
      <c r="B124" s="265">
        <v>116</v>
      </c>
      <c r="C124" s="67" t="s">
        <v>155</v>
      </c>
      <c r="D124" s="57">
        <v>1886.202</v>
      </c>
      <c r="E124" s="171"/>
      <c r="F124" s="171">
        <v>380.01</v>
      </c>
      <c r="G124" s="168">
        <v>207.41499999999999</v>
      </c>
      <c r="H124" s="276">
        <v>172.595</v>
      </c>
      <c r="I124" s="44">
        <f t="shared" si="3"/>
        <v>20.146834750466809</v>
      </c>
      <c r="J124" s="44">
        <f t="shared" si="4"/>
        <v>0.13542856962629873</v>
      </c>
    </row>
    <row r="125" spans="2:10" x14ac:dyDescent="0.35">
      <c r="B125" s="265">
        <v>117</v>
      </c>
      <c r="C125" s="67" t="s">
        <v>184</v>
      </c>
      <c r="D125" s="57">
        <v>3473.7269999999999</v>
      </c>
      <c r="E125" s="171"/>
      <c r="F125" s="171">
        <v>367.06</v>
      </c>
      <c r="G125" s="168">
        <v>192.25899999999999</v>
      </c>
      <c r="H125" s="276">
        <v>174.80099999999999</v>
      </c>
      <c r="I125" s="44">
        <f t="shared" si="3"/>
        <v>10.566748624748001</v>
      </c>
      <c r="J125" s="44">
        <f t="shared" si="4"/>
        <v>0.13081342798091949</v>
      </c>
    </row>
    <row r="126" spans="2:10" x14ac:dyDescent="0.35">
      <c r="B126" s="265">
        <v>118</v>
      </c>
      <c r="C126" s="67" t="s">
        <v>100</v>
      </c>
      <c r="D126" s="57">
        <v>8655.5409999999993</v>
      </c>
      <c r="E126" s="171"/>
      <c r="F126" s="171">
        <v>358.69099999999997</v>
      </c>
      <c r="G126" s="168">
        <v>173.47800000000001</v>
      </c>
      <c r="H126" s="276">
        <v>185.21299999999999</v>
      </c>
      <c r="I126" s="44">
        <f t="shared" si="3"/>
        <v>4.1440621678067266</v>
      </c>
      <c r="J126" s="44">
        <f t="shared" si="4"/>
        <v>0.1278308704187435</v>
      </c>
    </row>
    <row r="127" spans="2:10" x14ac:dyDescent="0.35">
      <c r="B127" s="265">
        <v>119</v>
      </c>
      <c r="C127" s="67" t="s">
        <v>97</v>
      </c>
      <c r="D127" s="57">
        <v>5850.3429999999998</v>
      </c>
      <c r="E127" s="171"/>
      <c r="F127" s="171">
        <v>348.464</v>
      </c>
      <c r="G127" s="168">
        <v>181.63300000000001</v>
      </c>
      <c r="H127" s="276">
        <v>166.83099999999999</v>
      </c>
      <c r="I127" s="44">
        <f t="shared" si="3"/>
        <v>5.956300339997159</v>
      </c>
      <c r="J127" s="44">
        <f t="shared" si="4"/>
        <v>0.12418615585447375</v>
      </c>
    </row>
    <row r="128" spans="2:10" x14ac:dyDescent="0.35">
      <c r="B128" s="265">
        <v>120</v>
      </c>
      <c r="C128" s="67" t="s">
        <v>197</v>
      </c>
      <c r="D128" s="57">
        <v>1399.491</v>
      </c>
      <c r="E128" s="171"/>
      <c r="F128" s="171">
        <v>330.51900000000001</v>
      </c>
      <c r="G128" s="168">
        <v>193.142</v>
      </c>
      <c r="H128" s="276">
        <v>137.37700000000001</v>
      </c>
      <c r="I128" s="44">
        <f t="shared" si="3"/>
        <v>23.617086497876731</v>
      </c>
      <c r="J128" s="44">
        <f t="shared" si="4"/>
        <v>0.11779088814587678</v>
      </c>
    </row>
    <row r="129" spans="2:10" x14ac:dyDescent="0.35">
      <c r="B129" s="265">
        <v>121</v>
      </c>
      <c r="C129" s="67" t="s">
        <v>130</v>
      </c>
      <c r="D129" s="57">
        <v>59734.213000000003</v>
      </c>
      <c r="E129" s="171"/>
      <c r="F129" s="171">
        <v>327.863</v>
      </c>
      <c r="G129" s="168">
        <v>165.38800000000001</v>
      </c>
      <c r="H129" s="276">
        <v>162.47499999999999</v>
      </c>
      <c r="I129" s="44">
        <f t="shared" si="3"/>
        <v>0.54886970721452377</v>
      </c>
      <c r="J129" s="44">
        <f t="shared" si="4"/>
        <v>0.11684433863158124</v>
      </c>
    </row>
    <row r="130" spans="2:10" x14ac:dyDescent="0.35">
      <c r="B130" s="265">
        <v>122</v>
      </c>
      <c r="C130" s="67" t="s">
        <v>98</v>
      </c>
      <c r="D130" s="57">
        <v>10099.27</v>
      </c>
      <c r="E130" s="171"/>
      <c r="F130" s="171">
        <v>327.58100000000002</v>
      </c>
      <c r="G130" s="168">
        <v>180.04300000000001</v>
      </c>
      <c r="H130" s="276">
        <v>147.53800000000001</v>
      </c>
      <c r="I130" s="44">
        <f t="shared" si="3"/>
        <v>3.243610676811294</v>
      </c>
      <c r="J130" s="44">
        <f t="shared" si="4"/>
        <v>0.11674383902200618</v>
      </c>
    </row>
    <row r="131" spans="2:10" x14ac:dyDescent="0.35">
      <c r="B131" s="265">
        <v>123</v>
      </c>
      <c r="C131" s="67" t="s">
        <v>142</v>
      </c>
      <c r="D131" s="57">
        <v>5540.7179999999998</v>
      </c>
      <c r="E131" s="171"/>
      <c r="F131" s="171">
        <v>311.88900000000001</v>
      </c>
      <c r="G131" s="168">
        <v>188.09100000000001</v>
      </c>
      <c r="H131" s="276">
        <v>123.798</v>
      </c>
      <c r="I131" s="44">
        <f t="shared" si="3"/>
        <v>5.6290358036629913</v>
      </c>
      <c r="J131" s="44">
        <f t="shared" si="4"/>
        <v>0.11115149904522695</v>
      </c>
    </row>
    <row r="132" spans="2:10" x14ac:dyDescent="0.35">
      <c r="B132" s="265">
        <v>124</v>
      </c>
      <c r="C132" s="67" t="s">
        <v>154</v>
      </c>
      <c r="D132" s="57">
        <v>19129.955000000002</v>
      </c>
      <c r="E132" s="171"/>
      <c r="F132" s="171">
        <v>311.05200000000002</v>
      </c>
      <c r="G132" s="168">
        <v>125.626</v>
      </c>
      <c r="H132" s="276">
        <v>185.42599999999999</v>
      </c>
      <c r="I132" s="44">
        <f t="shared" si="3"/>
        <v>1.6259944155644901</v>
      </c>
      <c r="J132" s="44">
        <f t="shared" si="4"/>
        <v>0.11085320765084994</v>
      </c>
    </row>
    <row r="133" spans="2:10" x14ac:dyDescent="0.35">
      <c r="B133" s="265">
        <v>125</v>
      </c>
      <c r="C133" s="67" t="s">
        <v>22</v>
      </c>
      <c r="D133" s="57">
        <v>34813.866999999998</v>
      </c>
      <c r="E133" s="171"/>
      <c r="F133" s="171">
        <v>299.26799999999997</v>
      </c>
      <c r="G133" s="168">
        <v>134.08500000000001</v>
      </c>
      <c r="H133" s="276">
        <v>165.18299999999999</v>
      </c>
      <c r="I133" s="44">
        <f t="shared" si="3"/>
        <v>0.85962297724639436</v>
      </c>
      <c r="J133" s="44">
        <f t="shared" si="4"/>
        <v>0.10665360694435191</v>
      </c>
    </row>
    <row r="134" spans="2:10" x14ac:dyDescent="0.35">
      <c r="B134" s="265">
        <v>126</v>
      </c>
      <c r="C134" s="67" t="s">
        <v>205</v>
      </c>
      <c r="D134" s="57">
        <v>586.63400000000001</v>
      </c>
      <c r="E134" s="171"/>
      <c r="F134" s="171">
        <v>273.209</v>
      </c>
      <c r="G134" s="168">
        <v>152.42599999999999</v>
      </c>
      <c r="H134" s="276">
        <v>120.783</v>
      </c>
      <c r="I134" s="44">
        <f t="shared" si="3"/>
        <v>46.572309139940749</v>
      </c>
      <c r="J134" s="44">
        <f t="shared" si="4"/>
        <v>9.7366658980109613E-2</v>
      </c>
    </row>
    <row r="135" spans="2:10" x14ac:dyDescent="0.35">
      <c r="B135" s="265">
        <v>127</v>
      </c>
      <c r="C135" s="67" t="s">
        <v>122</v>
      </c>
      <c r="D135" s="57">
        <v>5792.2030000000004</v>
      </c>
      <c r="E135" s="171"/>
      <c r="F135" s="171">
        <v>257.02499999999998</v>
      </c>
      <c r="G135" s="168">
        <v>134.92500000000001</v>
      </c>
      <c r="H135" s="276">
        <v>122.1</v>
      </c>
      <c r="I135" s="44">
        <f t="shared" si="3"/>
        <v>4.4374308013721198</v>
      </c>
      <c r="J135" s="44">
        <f t="shared" si="4"/>
        <v>9.1598979258965374E-2</v>
      </c>
    </row>
    <row r="136" spans="2:10" x14ac:dyDescent="0.35">
      <c r="B136" s="265">
        <v>128</v>
      </c>
      <c r="C136" s="67" t="s">
        <v>159</v>
      </c>
      <c r="D136" s="57">
        <v>6031.1869999999999</v>
      </c>
      <c r="E136" s="171"/>
      <c r="F136" s="171">
        <v>242.554</v>
      </c>
      <c r="G136" s="168">
        <v>126.958</v>
      </c>
      <c r="H136" s="276">
        <v>115.596</v>
      </c>
      <c r="I136" s="44">
        <f t="shared" ref="I136:I199" si="5">(F136/D136)*100</f>
        <v>4.0216627340521862</v>
      </c>
      <c r="J136" s="44">
        <f t="shared" si="4"/>
        <v>8.6441781208750471E-2</v>
      </c>
    </row>
    <row r="137" spans="2:10" x14ac:dyDescent="0.35">
      <c r="B137" s="265">
        <v>129</v>
      </c>
      <c r="C137" s="67" t="s">
        <v>236</v>
      </c>
      <c r="D137" s="57">
        <v>896.44399999999996</v>
      </c>
      <c r="E137" s="171"/>
      <c r="F137" s="171">
        <v>233.85599999999999</v>
      </c>
      <c r="G137" s="168">
        <v>123.04</v>
      </c>
      <c r="H137" s="276">
        <v>110.816</v>
      </c>
      <c r="I137" s="44">
        <f t="shared" si="5"/>
        <v>26.087072923685138</v>
      </c>
      <c r="J137" s="44">
        <f t="shared" ref="J137:J200" si="6">(F137/$F$8)*100</f>
        <v>8.3341974102070254E-2</v>
      </c>
    </row>
    <row r="138" spans="2:10" x14ac:dyDescent="0.35">
      <c r="B138" s="265">
        <v>130</v>
      </c>
      <c r="C138" s="67" t="s">
        <v>180</v>
      </c>
      <c r="D138" s="57">
        <v>5057.6769999999997</v>
      </c>
      <c r="E138" s="171"/>
      <c r="F138" s="171">
        <v>233.56399999999999</v>
      </c>
      <c r="G138" s="168">
        <v>117.32899999999999</v>
      </c>
      <c r="H138" s="276">
        <v>116.235</v>
      </c>
      <c r="I138" s="44">
        <f t="shared" si="5"/>
        <v>4.6180094142033976</v>
      </c>
      <c r="J138" s="44">
        <f t="shared" si="6"/>
        <v>8.3237910676552826E-2</v>
      </c>
    </row>
    <row r="139" spans="2:10" x14ac:dyDescent="0.35">
      <c r="B139" s="265">
        <v>131</v>
      </c>
      <c r="C139" s="67" t="s">
        <v>138</v>
      </c>
      <c r="D139" s="57">
        <v>5518.0919999999996</v>
      </c>
      <c r="E139" s="171"/>
      <c r="F139" s="171">
        <v>223.767</v>
      </c>
      <c r="G139" s="168">
        <v>110.31399999999999</v>
      </c>
      <c r="H139" s="276">
        <v>113.453</v>
      </c>
      <c r="I139" s="44">
        <f t="shared" si="5"/>
        <v>4.0551516719909708</v>
      </c>
      <c r="J139" s="44">
        <f t="shared" si="6"/>
        <v>7.9746440197805302E-2</v>
      </c>
    </row>
    <row r="140" spans="2:10" x14ac:dyDescent="0.35">
      <c r="B140" s="265">
        <v>132</v>
      </c>
      <c r="C140" s="67" t="s">
        <v>128</v>
      </c>
      <c r="D140" s="57">
        <v>16425.859</v>
      </c>
      <c r="E140" s="171"/>
      <c r="F140" s="171">
        <v>222.303</v>
      </c>
      <c r="G140" s="168">
        <v>102.40900000000001</v>
      </c>
      <c r="H140" s="276">
        <v>119.89400000000001</v>
      </c>
      <c r="I140" s="44">
        <f t="shared" si="5"/>
        <v>1.3533721432772556</v>
      </c>
      <c r="J140" s="44">
        <f t="shared" si="6"/>
        <v>7.9224697543841191E-2</v>
      </c>
    </row>
    <row r="141" spans="2:10" x14ac:dyDescent="0.35">
      <c r="B141" s="265">
        <v>133</v>
      </c>
      <c r="C141" s="67" t="s">
        <v>89</v>
      </c>
      <c r="D141" s="57">
        <v>4270.5630000000001</v>
      </c>
      <c r="E141" s="171"/>
      <c r="F141" s="171">
        <v>212.27099999999999</v>
      </c>
      <c r="G141" s="168">
        <v>82.656999999999996</v>
      </c>
      <c r="H141" s="276">
        <v>129.614</v>
      </c>
      <c r="I141" s="44">
        <f t="shared" si="5"/>
        <v>4.9705624293565034</v>
      </c>
      <c r="J141" s="44">
        <f t="shared" si="6"/>
        <v>7.5649477390447778E-2</v>
      </c>
    </row>
    <row r="142" spans="2:10" x14ac:dyDescent="0.35">
      <c r="B142" s="265">
        <v>134</v>
      </c>
      <c r="C142" s="67" t="s">
        <v>161</v>
      </c>
      <c r="D142" s="57">
        <v>1326.539</v>
      </c>
      <c r="E142" s="171"/>
      <c r="F142" s="171">
        <v>206.631</v>
      </c>
      <c r="G142" s="168">
        <v>115.194</v>
      </c>
      <c r="H142" s="276">
        <v>91.436999999999998</v>
      </c>
      <c r="I142" s="44">
        <f t="shared" si="5"/>
        <v>15.57669996886635</v>
      </c>
      <c r="J142" s="44">
        <f t="shared" si="6"/>
        <v>7.3639485198946711E-2</v>
      </c>
    </row>
    <row r="143" spans="2:10" x14ac:dyDescent="0.35">
      <c r="B143" s="265">
        <v>135</v>
      </c>
      <c r="C143" s="67" t="s">
        <v>35</v>
      </c>
      <c r="D143" s="57">
        <v>9890.4</v>
      </c>
      <c r="E143" s="171"/>
      <c r="F143" s="171">
        <v>203.214</v>
      </c>
      <c r="G143" s="168">
        <v>95.759</v>
      </c>
      <c r="H143" s="276">
        <v>107.455</v>
      </c>
      <c r="I143" s="44">
        <f t="shared" si="5"/>
        <v>2.0546590633341419</v>
      </c>
      <c r="J143" s="44">
        <f t="shared" si="6"/>
        <v>7.2421729291436213E-2</v>
      </c>
    </row>
    <row r="144" spans="2:10" x14ac:dyDescent="0.35">
      <c r="B144" s="265">
        <v>136</v>
      </c>
      <c r="C144" s="67" t="s">
        <v>245</v>
      </c>
      <c r="D144" s="57">
        <v>2142.252</v>
      </c>
      <c r="E144" s="171"/>
      <c r="F144" s="171">
        <v>202.16399999999999</v>
      </c>
      <c r="G144" s="168">
        <v>112.59699999999999</v>
      </c>
      <c r="H144" s="276">
        <v>89.566999999999993</v>
      </c>
      <c r="I144" s="44">
        <f t="shared" si="5"/>
        <v>9.4369850045652885</v>
      </c>
      <c r="J144" s="44">
        <f t="shared" si="6"/>
        <v>7.2047528617486534E-2</v>
      </c>
    </row>
    <row r="145" spans="2:10" x14ac:dyDescent="0.35">
      <c r="B145" s="265">
        <v>137</v>
      </c>
      <c r="C145" s="67" t="s">
        <v>166</v>
      </c>
      <c r="D145" s="57">
        <v>18383.955999999998</v>
      </c>
      <c r="E145" s="171"/>
      <c r="F145" s="171">
        <v>200.7</v>
      </c>
      <c r="G145" s="168">
        <v>107.07899999999999</v>
      </c>
      <c r="H145" s="276">
        <v>93.620999999999995</v>
      </c>
      <c r="I145" s="44">
        <f t="shared" si="5"/>
        <v>1.0917127956572568</v>
      </c>
      <c r="J145" s="44">
        <f t="shared" si="6"/>
        <v>7.1525785963522423E-2</v>
      </c>
    </row>
    <row r="146" spans="2:10" x14ac:dyDescent="0.35">
      <c r="B146" s="265">
        <v>138</v>
      </c>
      <c r="C146" s="67" t="s">
        <v>250</v>
      </c>
      <c r="D146" s="57">
        <v>597.33000000000004</v>
      </c>
      <c r="E146" s="171"/>
      <c r="F146" s="171">
        <v>194.93199999999999</v>
      </c>
      <c r="G146" s="168">
        <v>92.081000000000003</v>
      </c>
      <c r="H146" s="276">
        <v>102.851</v>
      </c>
      <c r="I146" s="44">
        <f t="shared" si="5"/>
        <v>32.63388746588987</v>
      </c>
      <c r="J146" s="44">
        <f t="shared" si="6"/>
        <v>6.9470176927958913E-2</v>
      </c>
    </row>
    <row r="147" spans="2:10" x14ac:dyDescent="0.35">
      <c r="B147" s="265">
        <v>139</v>
      </c>
      <c r="C147" s="67" t="s">
        <v>214</v>
      </c>
      <c r="D147" s="57">
        <v>27691.019</v>
      </c>
      <c r="E147" s="171"/>
      <c r="F147" s="171">
        <v>193.52600000000001</v>
      </c>
      <c r="G147" s="168">
        <v>118.55</v>
      </c>
      <c r="H147" s="276">
        <v>74.975999999999999</v>
      </c>
      <c r="I147" s="44">
        <f t="shared" si="5"/>
        <v>0.6988764118792451</v>
      </c>
      <c r="J147" s="44">
        <f t="shared" si="6"/>
        <v>6.8969104406460605E-2</v>
      </c>
    </row>
    <row r="148" spans="2:10" x14ac:dyDescent="0.35">
      <c r="B148" s="265">
        <v>140</v>
      </c>
      <c r="C148" s="67" t="s">
        <v>115</v>
      </c>
      <c r="D148" s="57">
        <v>5421.2420000000002</v>
      </c>
      <c r="E148" s="171"/>
      <c r="F148" s="171">
        <v>191.392</v>
      </c>
      <c r="G148" s="168">
        <v>108.60299999999999</v>
      </c>
      <c r="H148" s="276">
        <v>82.789000000000001</v>
      </c>
      <c r="I148" s="44">
        <f t="shared" si="5"/>
        <v>3.5304087144606346</v>
      </c>
      <c r="J148" s="44">
        <f t="shared" si="6"/>
        <v>6.8208586084357176E-2</v>
      </c>
    </row>
    <row r="149" spans="2:10" x14ac:dyDescent="0.35">
      <c r="B149" s="265">
        <v>141</v>
      </c>
      <c r="C149" s="67" t="s">
        <v>234</v>
      </c>
      <c r="D149" s="57">
        <v>555.98800000000006</v>
      </c>
      <c r="E149" s="171"/>
      <c r="F149" s="171">
        <v>187.55799999999999</v>
      </c>
      <c r="G149" s="168">
        <v>102.526</v>
      </c>
      <c r="H149" s="276">
        <v>85.031999999999996</v>
      </c>
      <c r="I149" s="44">
        <f t="shared" si="5"/>
        <v>33.734181313265751</v>
      </c>
      <c r="J149" s="44">
        <f t="shared" si="6"/>
        <v>6.6842219052049526E-2</v>
      </c>
    </row>
    <row r="150" spans="2:10" x14ac:dyDescent="0.35">
      <c r="B150" s="265">
        <v>142</v>
      </c>
      <c r="C150" s="67" t="s">
        <v>118</v>
      </c>
      <c r="D150" s="57">
        <v>6871.2870000000003</v>
      </c>
      <c r="E150" s="171"/>
      <c r="F150" s="171">
        <v>185.518</v>
      </c>
      <c r="G150" s="168">
        <v>84.391999999999996</v>
      </c>
      <c r="H150" s="276">
        <v>101.126</v>
      </c>
      <c r="I150" s="44">
        <f t="shared" si="5"/>
        <v>2.6999017796811571</v>
      </c>
      <c r="J150" s="44">
        <f t="shared" si="6"/>
        <v>6.6115200599804455E-2</v>
      </c>
    </row>
    <row r="151" spans="2:10" x14ac:dyDescent="0.35">
      <c r="B151" s="265">
        <v>143</v>
      </c>
      <c r="C151" s="67" t="s">
        <v>220</v>
      </c>
      <c r="D151" s="57">
        <v>1271.7670000000001</v>
      </c>
      <c r="E151" s="171"/>
      <c r="F151" s="171">
        <v>182.97300000000001</v>
      </c>
      <c r="G151" s="168">
        <v>100.18300000000001</v>
      </c>
      <c r="H151" s="276">
        <v>82.79</v>
      </c>
      <c r="I151" s="44">
        <f t="shared" si="5"/>
        <v>14.387305221789839</v>
      </c>
      <c r="J151" s="44">
        <f t="shared" si="6"/>
        <v>6.5208209442469314E-2</v>
      </c>
    </row>
    <row r="152" spans="2:10" x14ac:dyDescent="0.35">
      <c r="B152" s="265">
        <v>144</v>
      </c>
      <c r="C152" s="67" t="s">
        <v>160</v>
      </c>
      <c r="D152" s="57">
        <v>1207.3610000000001</v>
      </c>
      <c r="E152" s="171"/>
      <c r="F152" s="171">
        <v>173.21</v>
      </c>
      <c r="G152" s="168">
        <v>90.195999999999998</v>
      </c>
      <c r="H152" s="276">
        <v>83.013999999999996</v>
      </c>
      <c r="I152" s="44">
        <f t="shared" si="5"/>
        <v>14.346164900141714</v>
      </c>
      <c r="J152" s="44">
        <f t="shared" si="6"/>
        <v>6.1728855937925861E-2</v>
      </c>
    </row>
    <row r="153" spans="2:10" x14ac:dyDescent="0.35">
      <c r="B153" s="265">
        <v>145</v>
      </c>
      <c r="C153" s="67" t="s">
        <v>152</v>
      </c>
      <c r="D153" s="57">
        <v>2078.9319999999998</v>
      </c>
      <c r="E153" s="171"/>
      <c r="F153" s="171">
        <v>160.197</v>
      </c>
      <c r="G153" s="168">
        <v>86.81</v>
      </c>
      <c r="H153" s="276">
        <v>73.387</v>
      </c>
      <c r="I153" s="44">
        <f t="shared" si="5"/>
        <v>7.7057354449303785</v>
      </c>
      <c r="J153" s="44">
        <f t="shared" si="6"/>
        <v>5.7091262252109636E-2</v>
      </c>
    </row>
    <row r="154" spans="2:10" x14ac:dyDescent="0.35">
      <c r="B154" s="265">
        <v>146</v>
      </c>
      <c r="C154" s="67" t="s">
        <v>199</v>
      </c>
      <c r="D154" s="57">
        <v>7976.9849999999997</v>
      </c>
      <c r="E154" s="171"/>
      <c r="F154" s="171">
        <v>152.48599999999999</v>
      </c>
      <c r="G154" s="168">
        <v>76.343000000000004</v>
      </c>
      <c r="H154" s="276">
        <v>76.143000000000001</v>
      </c>
      <c r="I154" s="44">
        <f t="shared" si="5"/>
        <v>1.9115743604883297</v>
      </c>
      <c r="J154" s="44">
        <f t="shared" si="6"/>
        <v>5.4343203778942105E-2</v>
      </c>
    </row>
    <row r="155" spans="2:10" x14ac:dyDescent="0.35">
      <c r="B155" s="265">
        <v>147</v>
      </c>
      <c r="C155" s="67" t="s">
        <v>238</v>
      </c>
      <c r="D155" s="57">
        <v>869.59500000000003</v>
      </c>
      <c r="E155" s="171"/>
      <c r="F155" s="171">
        <v>150.82300000000001</v>
      </c>
      <c r="G155" s="168">
        <v>77.820999999999998</v>
      </c>
      <c r="H155" s="276">
        <v>73.001999999999995</v>
      </c>
      <c r="I155" s="44">
        <f t="shared" si="5"/>
        <v>17.344050966254407</v>
      </c>
      <c r="J155" s="44">
        <f t="shared" si="6"/>
        <v>5.3750541187724682E-2</v>
      </c>
    </row>
    <row r="156" spans="2:10" x14ac:dyDescent="0.35">
      <c r="B156" s="265">
        <v>148</v>
      </c>
      <c r="C156" s="67" t="s">
        <v>135</v>
      </c>
      <c r="D156" s="57">
        <v>5094.1139999999996</v>
      </c>
      <c r="E156" s="171"/>
      <c r="F156" s="171">
        <v>150.24100000000001</v>
      </c>
      <c r="G156" s="168">
        <v>86.111999999999995</v>
      </c>
      <c r="H156" s="276">
        <v>64.129000000000005</v>
      </c>
      <c r="I156" s="44">
        <f t="shared" si="5"/>
        <v>2.9493058066623563</v>
      </c>
      <c r="J156" s="44">
        <f t="shared" si="6"/>
        <v>5.3543127099878296E-2</v>
      </c>
    </row>
    <row r="157" spans="2:10" x14ac:dyDescent="0.35">
      <c r="B157" s="265">
        <v>149</v>
      </c>
      <c r="C157" s="67" t="s">
        <v>139</v>
      </c>
      <c r="D157" s="57">
        <v>649.34199999999998</v>
      </c>
      <c r="E157" s="171"/>
      <c r="F157" s="171">
        <v>145.19200000000001</v>
      </c>
      <c r="G157" s="168">
        <v>80.594999999999999</v>
      </c>
      <c r="H157" s="276">
        <v>64.596999999999994</v>
      </c>
      <c r="I157" s="44">
        <f t="shared" si="5"/>
        <v>22.359865833412904</v>
      </c>
      <c r="J157" s="44">
        <f t="shared" si="6"/>
        <v>5.174375643057174E-2</v>
      </c>
    </row>
    <row r="158" spans="2:10" x14ac:dyDescent="0.35">
      <c r="B158" s="265">
        <v>150</v>
      </c>
      <c r="C158" s="67" t="s">
        <v>164</v>
      </c>
      <c r="D158" s="57">
        <v>4314.768</v>
      </c>
      <c r="E158" s="171"/>
      <c r="F158" s="171">
        <v>139.52000000000001</v>
      </c>
      <c r="G158" s="168">
        <v>71.454999999999998</v>
      </c>
      <c r="H158" s="276">
        <v>68.064999999999998</v>
      </c>
      <c r="I158" s="44">
        <f t="shared" si="5"/>
        <v>3.2335458128919101</v>
      </c>
      <c r="J158" s="44">
        <f t="shared" si="6"/>
        <v>4.9722360028055058E-2</v>
      </c>
    </row>
    <row r="159" spans="2:10" x14ac:dyDescent="0.35">
      <c r="B159" s="265">
        <v>151</v>
      </c>
      <c r="C159" s="67" t="s">
        <v>157</v>
      </c>
      <c r="D159" s="57">
        <v>2416.6640000000002</v>
      </c>
      <c r="E159" s="171"/>
      <c r="F159" s="171">
        <v>139.21</v>
      </c>
      <c r="G159" s="168">
        <v>45.795999999999999</v>
      </c>
      <c r="H159" s="276">
        <v>93.414000000000001</v>
      </c>
      <c r="I159" s="44">
        <f t="shared" si="5"/>
        <v>5.7604201494291303</v>
      </c>
      <c r="J159" s="44">
        <f t="shared" si="6"/>
        <v>4.9611881733841345E-2</v>
      </c>
    </row>
    <row r="160" spans="2:10" x14ac:dyDescent="0.35">
      <c r="B160" s="265">
        <v>152</v>
      </c>
      <c r="C160" s="67" t="s">
        <v>254</v>
      </c>
      <c r="D160" s="57">
        <v>198.41</v>
      </c>
      <c r="E160" s="171"/>
      <c r="F160" s="171">
        <v>135.732</v>
      </c>
      <c r="G160" s="168">
        <v>69.061000000000007</v>
      </c>
      <c r="H160" s="276">
        <v>66.671000000000006</v>
      </c>
      <c r="I160" s="44">
        <f t="shared" si="5"/>
        <v>68.409858374073877</v>
      </c>
      <c r="J160" s="44">
        <f t="shared" si="6"/>
        <v>4.8372386549082345E-2</v>
      </c>
    </row>
    <row r="161" spans="2:10" x14ac:dyDescent="0.35">
      <c r="B161" s="265">
        <v>153</v>
      </c>
      <c r="C161" s="67" t="s">
        <v>192</v>
      </c>
      <c r="D161" s="57">
        <v>628.06200000000001</v>
      </c>
      <c r="E161" s="171"/>
      <c r="F161" s="171">
        <v>132.965</v>
      </c>
      <c r="G161" s="168">
        <v>71.418000000000006</v>
      </c>
      <c r="H161" s="276">
        <v>61.546999999999997</v>
      </c>
      <c r="I161" s="44">
        <f t="shared" si="5"/>
        <v>21.170680601596658</v>
      </c>
      <c r="J161" s="44">
        <f t="shared" si="6"/>
        <v>4.738627867782641E-2</v>
      </c>
    </row>
    <row r="162" spans="2:10" x14ac:dyDescent="0.35">
      <c r="B162" s="265">
        <v>154</v>
      </c>
      <c r="C162" s="67" t="s">
        <v>165</v>
      </c>
      <c r="D162" s="57">
        <v>4649.66</v>
      </c>
      <c r="E162" s="171"/>
      <c r="F162" s="171">
        <v>130.226</v>
      </c>
      <c r="G162" s="168">
        <v>50.167000000000002</v>
      </c>
      <c r="H162" s="276">
        <v>80.058999999999997</v>
      </c>
      <c r="I162" s="44">
        <f t="shared" si="5"/>
        <v>2.8007639268247573</v>
      </c>
      <c r="J162" s="44">
        <f t="shared" si="6"/>
        <v>4.6410149491209127E-2</v>
      </c>
    </row>
    <row r="163" spans="2:10" x14ac:dyDescent="0.35">
      <c r="B163" s="265">
        <v>155</v>
      </c>
      <c r="C163" s="67" t="s">
        <v>156</v>
      </c>
      <c r="D163" s="57">
        <v>1402.9849999999999</v>
      </c>
      <c r="E163" s="171"/>
      <c r="F163" s="171">
        <v>128.774</v>
      </c>
      <c r="G163" s="168">
        <v>60.021000000000001</v>
      </c>
      <c r="H163" s="276">
        <v>68.753</v>
      </c>
      <c r="I163" s="44">
        <f t="shared" si="5"/>
        <v>9.178572828647491</v>
      </c>
      <c r="J163" s="44">
        <f t="shared" si="6"/>
        <v>4.5892683416375868E-2</v>
      </c>
    </row>
    <row r="164" spans="2:10" x14ac:dyDescent="0.35">
      <c r="B164" s="265">
        <v>156</v>
      </c>
      <c r="C164" s="67" t="s">
        <v>221</v>
      </c>
      <c r="D164" s="57">
        <v>1967.998</v>
      </c>
      <c r="E164" s="171"/>
      <c r="F164" s="171">
        <v>111.79</v>
      </c>
      <c r="G164" s="168">
        <v>51.158000000000001</v>
      </c>
      <c r="H164" s="276">
        <v>60.631999999999998</v>
      </c>
      <c r="I164" s="44">
        <f t="shared" si="5"/>
        <v>5.6803919516178372</v>
      </c>
      <c r="J164" s="44">
        <f t="shared" si="6"/>
        <v>3.9839898419841417E-2</v>
      </c>
    </row>
    <row r="165" spans="2:10" x14ac:dyDescent="0.35">
      <c r="B165" s="265">
        <v>157</v>
      </c>
      <c r="C165" s="67" t="s">
        <v>276</v>
      </c>
      <c r="D165" s="57">
        <v>25778.814999999999</v>
      </c>
      <c r="E165" s="171"/>
      <c r="F165" s="171">
        <v>110.377</v>
      </c>
      <c r="G165" s="168">
        <v>52.215000000000003</v>
      </c>
      <c r="H165" s="276">
        <v>58.161999999999999</v>
      </c>
      <c r="I165" s="44">
        <f t="shared" si="5"/>
        <v>0.42816940964896955</v>
      </c>
      <c r="J165" s="44">
        <f t="shared" si="6"/>
        <v>3.9336331227183434E-2</v>
      </c>
    </row>
    <row r="166" spans="2:10" x14ac:dyDescent="0.35">
      <c r="B166" s="265">
        <v>158</v>
      </c>
      <c r="C166" s="67" t="s">
        <v>182</v>
      </c>
      <c r="D166" s="57">
        <v>441.53899999999999</v>
      </c>
      <c r="E166" s="171"/>
      <c r="F166" s="171">
        <v>102.79300000000001</v>
      </c>
      <c r="G166" s="168">
        <v>51.109000000000002</v>
      </c>
      <c r="H166" s="276">
        <v>51.683999999999997</v>
      </c>
      <c r="I166" s="44">
        <f t="shared" si="5"/>
        <v>23.280616208307762</v>
      </c>
      <c r="J166" s="44">
        <f t="shared" si="6"/>
        <v>3.6633533216484111E-2</v>
      </c>
    </row>
    <row r="167" spans="2:10" x14ac:dyDescent="0.35">
      <c r="B167" s="265">
        <v>159</v>
      </c>
      <c r="C167" s="67" t="s">
        <v>215</v>
      </c>
      <c r="D167" s="57">
        <v>287.37099999999998</v>
      </c>
      <c r="E167" s="171"/>
      <c r="F167" s="171">
        <v>99.611000000000004</v>
      </c>
      <c r="G167" s="168">
        <v>53.704999999999998</v>
      </c>
      <c r="H167" s="276">
        <v>45.905999999999999</v>
      </c>
      <c r="I167" s="44">
        <f t="shared" si="5"/>
        <v>34.662857421242926</v>
      </c>
      <c r="J167" s="44">
        <f t="shared" si="6"/>
        <v>3.5499526983619502E-2</v>
      </c>
    </row>
    <row r="168" spans="2:10" x14ac:dyDescent="0.35">
      <c r="B168" s="265">
        <v>160</v>
      </c>
      <c r="C168" s="67" t="s">
        <v>228</v>
      </c>
      <c r="D168" s="57">
        <v>3278.2919999999999</v>
      </c>
      <c r="E168" s="171"/>
      <c r="F168" s="171">
        <v>82.097999999999999</v>
      </c>
      <c r="G168" s="168">
        <v>42.731999999999999</v>
      </c>
      <c r="H168" s="276">
        <v>39.366</v>
      </c>
      <c r="I168" s="44">
        <f t="shared" si="5"/>
        <v>2.504291869058644</v>
      </c>
      <c r="J168" s="44">
        <f t="shared" si="6"/>
        <v>2.9258216123733256E-2</v>
      </c>
    </row>
    <row r="169" spans="2:10" x14ac:dyDescent="0.35">
      <c r="B169" s="265">
        <v>161</v>
      </c>
      <c r="C169" s="67" t="s">
        <v>148</v>
      </c>
      <c r="D169" s="57">
        <v>625.976</v>
      </c>
      <c r="E169" s="171"/>
      <c r="F169" s="171">
        <v>81.757000000000005</v>
      </c>
      <c r="G169" s="168">
        <v>41.296999999999997</v>
      </c>
      <c r="H169" s="276">
        <v>40.46</v>
      </c>
      <c r="I169" s="44">
        <f t="shared" si="5"/>
        <v>13.060724372819408</v>
      </c>
      <c r="J169" s="44">
        <f t="shared" si="6"/>
        <v>2.9136690000098178E-2</v>
      </c>
    </row>
    <row r="170" spans="2:10" x14ac:dyDescent="0.35">
      <c r="B170" s="265">
        <v>162</v>
      </c>
      <c r="C170" s="67" t="s">
        <v>242</v>
      </c>
      <c r="D170" s="57">
        <v>71.991</v>
      </c>
      <c r="E170" s="171"/>
      <c r="F170" s="171">
        <v>78.191000000000003</v>
      </c>
      <c r="G170" s="168">
        <v>45.734999999999999</v>
      </c>
      <c r="H170" s="276">
        <v>32.456000000000003</v>
      </c>
      <c r="I170" s="44">
        <f t="shared" si="5"/>
        <v>108.61218763456544</v>
      </c>
      <c r="J170" s="44">
        <f t="shared" si="6"/>
        <v>2.7865833235046253E-2</v>
      </c>
    </row>
    <row r="171" spans="2:10" x14ac:dyDescent="0.35">
      <c r="B171" s="265">
        <v>163</v>
      </c>
      <c r="C171" s="67" t="s">
        <v>255</v>
      </c>
      <c r="D171" s="57">
        <v>105.697</v>
      </c>
      <c r="E171" s="171"/>
      <c r="F171" s="171">
        <v>74.55</v>
      </c>
      <c r="G171" s="168">
        <v>37.798999999999999</v>
      </c>
      <c r="H171" s="276">
        <v>36.750999999999998</v>
      </c>
      <c r="I171" s="44">
        <f t="shared" si="5"/>
        <v>70.531803173221562</v>
      </c>
      <c r="J171" s="44">
        <f t="shared" si="6"/>
        <v>2.6568247850426489E-2</v>
      </c>
    </row>
    <row r="172" spans="2:10" x14ac:dyDescent="0.35">
      <c r="B172" s="265">
        <v>164</v>
      </c>
      <c r="C172" s="67" t="s">
        <v>241</v>
      </c>
      <c r="D172" s="57">
        <v>183.62899999999999</v>
      </c>
      <c r="E172" s="171"/>
      <c r="F172" s="171">
        <v>71.227000000000004</v>
      </c>
      <c r="G172" s="168">
        <v>41.594999999999999</v>
      </c>
      <c r="H172" s="276">
        <v>29.632000000000001</v>
      </c>
      <c r="I172" s="44">
        <f t="shared" si="5"/>
        <v>38.78853557989207</v>
      </c>
      <c r="J172" s="44">
        <f t="shared" si="6"/>
        <v>2.5383991812774353E-2</v>
      </c>
    </row>
    <row r="173" spans="2:10" x14ac:dyDescent="0.35">
      <c r="B173" s="265">
        <v>165</v>
      </c>
      <c r="C173" s="67" t="s">
        <v>218</v>
      </c>
      <c r="D173" s="57">
        <v>97.927999999999997</v>
      </c>
      <c r="E173" s="171"/>
      <c r="F173" s="171">
        <v>66.561000000000007</v>
      </c>
      <c r="G173" s="168">
        <v>36.613</v>
      </c>
      <c r="H173" s="276">
        <v>29.948</v>
      </c>
      <c r="I173" s="44">
        <f t="shared" si="5"/>
        <v>67.969324401601185</v>
      </c>
      <c r="J173" s="44">
        <f t="shared" si="6"/>
        <v>2.3721115294060874E-2</v>
      </c>
    </row>
    <row r="174" spans="2:10" x14ac:dyDescent="0.35">
      <c r="B174" s="265">
        <v>166</v>
      </c>
      <c r="C174" s="67" t="s">
        <v>176</v>
      </c>
      <c r="D174" s="57">
        <v>2351.625</v>
      </c>
      <c r="E174" s="171"/>
      <c r="F174" s="171">
        <v>63.561</v>
      </c>
      <c r="G174" s="168">
        <v>23.831</v>
      </c>
      <c r="H174" s="276">
        <v>39.729999999999997</v>
      </c>
      <c r="I174" s="44">
        <f t="shared" si="5"/>
        <v>2.7028544091851381</v>
      </c>
      <c r="J174" s="44">
        <f t="shared" si="6"/>
        <v>2.2651970511347527E-2</v>
      </c>
    </row>
    <row r="175" spans="2:10" x14ac:dyDescent="0.35">
      <c r="B175" s="265">
        <v>167</v>
      </c>
      <c r="C175" s="67" t="s">
        <v>244</v>
      </c>
      <c r="D175" s="57">
        <v>112.51900000000001</v>
      </c>
      <c r="E175" s="171"/>
      <c r="F175" s="171">
        <v>62.204000000000001</v>
      </c>
      <c r="G175" s="168">
        <v>34.631999999999998</v>
      </c>
      <c r="H175" s="276">
        <v>27.571999999999999</v>
      </c>
      <c r="I175" s="44">
        <f t="shared" si="5"/>
        <v>55.283107741803605</v>
      </c>
      <c r="J175" s="44">
        <f t="shared" si="6"/>
        <v>2.2168360687966862E-2</v>
      </c>
    </row>
    <row r="176" spans="2:10" x14ac:dyDescent="0.35">
      <c r="B176" s="265">
        <v>168</v>
      </c>
      <c r="C176" s="67" t="s">
        <v>121</v>
      </c>
      <c r="D176" s="57">
        <v>1701.5830000000001</v>
      </c>
      <c r="E176" s="171"/>
      <c r="F176" s="171">
        <v>58.27</v>
      </c>
      <c r="G176" s="168">
        <v>34.499000000000002</v>
      </c>
      <c r="H176" s="276">
        <v>23.771000000000001</v>
      </c>
      <c r="I176" s="44">
        <f t="shared" si="5"/>
        <v>3.4244582838451021</v>
      </c>
      <c r="J176" s="44">
        <f t="shared" si="6"/>
        <v>2.0766355496235435E-2</v>
      </c>
    </row>
    <row r="177" spans="2:10" x14ac:dyDescent="0.35">
      <c r="B177" s="265">
        <v>169</v>
      </c>
      <c r="C177" s="67" t="s">
        <v>253</v>
      </c>
      <c r="D177" s="57">
        <v>110.947</v>
      </c>
      <c r="E177" s="171"/>
      <c r="F177" s="171">
        <v>55.524999999999999</v>
      </c>
      <c r="G177" s="168">
        <v>29.757000000000001</v>
      </c>
      <c r="H177" s="276">
        <v>25.768000000000001</v>
      </c>
      <c r="I177" s="44">
        <f t="shared" si="5"/>
        <v>50.046418560213432</v>
      </c>
      <c r="J177" s="44">
        <f t="shared" si="6"/>
        <v>1.9788088020052729E-2</v>
      </c>
    </row>
    <row r="178" spans="2:10" x14ac:dyDescent="0.35">
      <c r="B178" s="265">
        <v>170</v>
      </c>
      <c r="C178" s="67" t="s">
        <v>194</v>
      </c>
      <c r="D178" s="57">
        <v>393.24799999999999</v>
      </c>
      <c r="E178" s="171"/>
      <c r="F178" s="171">
        <v>53.792999999999999</v>
      </c>
      <c r="G178" s="168">
        <v>31.463999999999999</v>
      </c>
      <c r="H178" s="276">
        <v>22.329000000000001</v>
      </c>
      <c r="I178" s="44">
        <f t="shared" si="5"/>
        <v>13.679154121572138</v>
      </c>
      <c r="J178" s="44">
        <f t="shared" si="6"/>
        <v>1.9170835098832894E-2</v>
      </c>
    </row>
    <row r="179" spans="2:10" x14ac:dyDescent="0.35">
      <c r="B179" s="265">
        <v>171</v>
      </c>
      <c r="C179" s="67" t="s">
        <v>196</v>
      </c>
      <c r="D179" s="57">
        <v>397.62099999999998</v>
      </c>
      <c r="E179" s="171"/>
      <c r="F179" s="171">
        <v>52.756</v>
      </c>
      <c r="G179" s="168">
        <v>30.658999999999999</v>
      </c>
      <c r="H179" s="276">
        <v>22.097000000000001</v>
      </c>
      <c r="I179" s="44">
        <f t="shared" si="5"/>
        <v>13.267910900078217</v>
      </c>
      <c r="J179" s="44">
        <f t="shared" si="6"/>
        <v>1.8801267385608316E-2</v>
      </c>
    </row>
    <row r="180" spans="2:10" x14ac:dyDescent="0.35">
      <c r="B180" s="265">
        <v>172</v>
      </c>
      <c r="C180" s="67" t="s">
        <v>200</v>
      </c>
      <c r="D180" s="57">
        <v>771.61199999999997</v>
      </c>
      <c r="E180" s="171"/>
      <c r="F180" s="171">
        <v>51.997999999999998</v>
      </c>
      <c r="G180" s="168">
        <v>25.702999999999999</v>
      </c>
      <c r="H180" s="276">
        <v>26.295000000000002</v>
      </c>
      <c r="I180" s="44">
        <f t="shared" si="5"/>
        <v>6.738879125778241</v>
      </c>
      <c r="J180" s="44">
        <f t="shared" si="6"/>
        <v>1.8531130137176079E-2</v>
      </c>
    </row>
    <row r="181" spans="2:10" x14ac:dyDescent="0.35">
      <c r="B181" s="265">
        <v>173</v>
      </c>
      <c r="C181" s="67" t="s">
        <v>243</v>
      </c>
      <c r="D181" s="57">
        <v>53.192</v>
      </c>
      <c r="E181" s="171"/>
      <c r="F181" s="171">
        <v>50.284999999999997</v>
      </c>
      <c r="G181" s="168">
        <v>27.925999999999998</v>
      </c>
      <c r="H181" s="276">
        <v>22.359000000000002</v>
      </c>
      <c r="I181" s="44">
        <f t="shared" si="5"/>
        <v>94.534892465032328</v>
      </c>
      <c r="J181" s="44">
        <f t="shared" si="6"/>
        <v>1.7920648466246761E-2</v>
      </c>
    </row>
    <row r="182" spans="2:10" x14ac:dyDescent="0.35">
      <c r="B182" s="265">
        <v>174</v>
      </c>
      <c r="C182" s="67" t="s">
        <v>216</v>
      </c>
      <c r="D182" s="57">
        <v>1160.164</v>
      </c>
      <c r="E182" s="171"/>
      <c r="F182" s="171">
        <v>50.039000000000001</v>
      </c>
      <c r="G182" s="168">
        <v>25.7</v>
      </c>
      <c r="H182" s="276">
        <v>24.338999999999999</v>
      </c>
      <c r="I182" s="44">
        <f t="shared" si="5"/>
        <v>4.3130971138563172</v>
      </c>
      <c r="J182" s="44">
        <f t="shared" si="6"/>
        <v>1.7832978594064269E-2</v>
      </c>
    </row>
    <row r="183" spans="2:10" x14ac:dyDescent="0.35">
      <c r="B183" s="265">
        <v>175</v>
      </c>
      <c r="C183" s="67" t="s">
        <v>136</v>
      </c>
      <c r="D183" s="57">
        <v>2225.7280000000001</v>
      </c>
      <c r="E183" s="171"/>
      <c r="F183" s="171">
        <v>48.392000000000003</v>
      </c>
      <c r="G183" s="168">
        <v>25.187000000000001</v>
      </c>
      <c r="H183" s="276">
        <v>23.204999999999998</v>
      </c>
      <c r="I183" s="44">
        <f t="shared" si="5"/>
        <v>2.1742099663570751</v>
      </c>
      <c r="J183" s="44">
        <f t="shared" si="6"/>
        <v>1.7246018108354647E-2</v>
      </c>
    </row>
    <row r="184" spans="2:10" x14ac:dyDescent="0.35">
      <c r="B184" s="265">
        <v>176</v>
      </c>
      <c r="C184" s="67" t="s">
        <v>177</v>
      </c>
      <c r="D184" s="57">
        <v>2540.9160000000002</v>
      </c>
      <c r="E184" s="171"/>
      <c r="F184" s="171">
        <v>47.77</v>
      </c>
      <c r="G184" s="168">
        <v>24.158000000000001</v>
      </c>
      <c r="H184" s="276">
        <v>23.611999999999998</v>
      </c>
      <c r="I184" s="44">
        <f t="shared" si="5"/>
        <v>1.8800306661062387</v>
      </c>
      <c r="J184" s="44">
        <f t="shared" si="6"/>
        <v>1.7024348756738746E-2</v>
      </c>
    </row>
    <row r="185" spans="2:10" x14ac:dyDescent="0.35">
      <c r="B185" s="265">
        <v>177</v>
      </c>
      <c r="C185" s="67" t="s">
        <v>175</v>
      </c>
      <c r="D185" s="57">
        <v>437.483</v>
      </c>
      <c r="E185" s="171"/>
      <c r="F185" s="171">
        <v>45.34</v>
      </c>
      <c r="G185" s="168">
        <v>19.515000000000001</v>
      </c>
      <c r="H185" s="276">
        <v>25.824999999999999</v>
      </c>
      <c r="I185" s="44">
        <f t="shared" si="5"/>
        <v>10.363831280301177</v>
      </c>
      <c r="J185" s="44">
        <f t="shared" si="6"/>
        <v>1.6158341482740944E-2</v>
      </c>
    </row>
    <row r="186" spans="2:10" x14ac:dyDescent="0.35">
      <c r="B186" s="265">
        <v>178</v>
      </c>
      <c r="C186" s="67" t="s">
        <v>201</v>
      </c>
      <c r="D186" s="57">
        <v>341.25</v>
      </c>
      <c r="E186" s="171"/>
      <c r="F186" s="171">
        <v>43.250999999999998</v>
      </c>
      <c r="G186" s="168">
        <v>22.077999999999999</v>
      </c>
      <c r="H186" s="276">
        <v>21.172999999999998</v>
      </c>
      <c r="I186" s="44">
        <f t="shared" si="5"/>
        <v>12.674285714285713</v>
      </c>
      <c r="J186" s="44">
        <f t="shared" si="6"/>
        <v>1.5413860332378218E-2</v>
      </c>
    </row>
    <row r="187" spans="2:10" x14ac:dyDescent="0.35">
      <c r="B187" s="265">
        <v>179</v>
      </c>
      <c r="C187" s="67" t="s">
        <v>261</v>
      </c>
      <c r="D187" s="57">
        <v>219.161</v>
      </c>
      <c r="E187" s="171"/>
      <c r="F187" s="171">
        <v>39.607999999999997</v>
      </c>
      <c r="G187" s="168">
        <v>20.777000000000001</v>
      </c>
      <c r="H187" s="276">
        <v>18.831</v>
      </c>
      <c r="I187" s="44">
        <f t="shared" si="5"/>
        <v>18.072558530030435</v>
      </c>
      <c r="J187" s="44">
        <f t="shared" si="6"/>
        <v>1.4115562184569986E-2</v>
      </c>
    </row>
    <row r="188" spans="2:10" x14ac:dyDescent="0.35">
      <c r="B188" s="265">
        <v>180</v>
      </c>
      <c r="C188" s="67" t="s">
        <v>240</v>
      </c>
      <c r="D188" s="57">
        <v>1318.442</v>
      </c>
      <c r="E188" s="171"/>
      <c r="F188" s="171">
        <v>39.588000000000001</v>
      </c>
      <c r="G188" s="168">
        <v>17.792000000000002</v>
      </c>
      <c r="H188" s="276">
        <v>21.795999999999999</v>
      </c>
      <c r="I188" s="44">
        <f t="shared" si="5"/>
        <v>3.002634928195552</v>
      </c>
      <c r="J188" s="44">
        <f t="shared" si="6"/>
        <v>1.410843455268523E-2</v>
      </c>
    </row>
    <row r="189" spans="2:10" x14ac:dyDescent="0.35">
      <c r="B189" s="265">
        <v>181</v>
      </c>
      <c r="C189" s="67" t="s">
        <v>222</v>
      </c>
      <c r="D189" s="57">
        <v>39.244</v>
      </c>
      <c r="E189" s="171"/>
      <c r="F189" s="171">
        <v>32.552</v>
      </c>
      <c r="G189" s="168">
        <v>17.079000000000001</v>
      </c>
      <c r="H189" s="276">
        <v>15.473000000000001</v>
      </c>
      <c r="I189" s="44">
        <f t="shared" si="5"/>
        <v>82.947711752114969</v>
      </c>
      <c r="J189" s="44">
        <f t="shared" si="6"/>
        <v>1.1600933655628212E-2</v>
      </c>
    </row>
    <row r="190" spans="2:10" x14ac:dyDescent="0.35">
      <c r="B190" s="265">
        <v>182</v>
      </c>
      <c r="C190" s="67" t="s">
        <v>237</v>
      </c>
      <c r="D190" s="57">
        <v>98.34</v>
      </c>
      <c r="E190" s="171"/>
      <c r="F190" s="171">
        <v>29.257999999999999</v>
      </c>
      <c r="G190" s="168">
        <v>16.634</v>
      </c>
      <c r="H190" s="276">
        <v>12.624000000000001</v>
      </c>
      <c r="I190" s="44">
        <f t="shared" si="5"/>
        <v>29.751881228391291</v>
      </c>
      <c r="J190" s="44">
        <f t="shared" si="6"/>
        <v>1.0427012684208965E-2</v>
      </c>
    </row>
    <row r="191" spans="2:10" x14ac:dyDescent="0.35">
      <c r="B191" s="265">
        <v>183</v>
      </c>
      <c r="C191" s="67" t="s">
        <v>96</v>
      </c>
      <c r="D191" s="57">
        <v>2881.06</v>
      </c>
      <c r="E191" s="171"/>
      <c r="F191" s="171">
        <v>25.704999999999998</v>
      </c>
      <c r="G191" s="168">
        <v>12.56</v>
      </c>
      <c r="H191" s="276">
        <v>13.145</v>
      </c>
      <c r="I191" s="44">
        <f t="shared" si="5"/>
        <v>0.8922063407218177</v>
      </c>
      <c r="J191" s="44">
        <f t="shared" si="6"/>
        <v>9.160788879882132E-3</v>
      </c>
    </row>
    <row r="192" spans="2:10" x14ac:dyDescent="0.35">
      <c r="B192" s="265">
        <v>184</v>
      </c>
      <c r="C192" s="67" t="s">
        <v>94</v>
      </c>
      <c r="D192" s="57">
        <v>5106.6220000000003</v>
      </c>
      <c r="E192" s="167"/>
      <c r="F192" s="171">
        <v>25.099</v>
      </c>
      <c r="G192" s="168">
        <v>11.525</v>
      </c>
      <c r="H192" s="276">
        <v>13.574</v>
      </c>
      <c r="I192" s="44">
        <f t="shared" si="5"/>
        <v>0.49149907708070029</v>
      </c>
      <c r="J192" s="44">
        <f t="shared" si="6"/>
        <v>8.9448216337740388E-3</v>
      </c>
    </row>
    <row r="193" spans="2:10" x14ac:dyDescent="0.35">
      <c r="B193" s="265">
        <v>185</v>
      </c>
      <c r="C193" s="67" t="s">
        <v>279</v>
      </c>
      <c r="D193" s="57">
        <v>115.021</v>
      </c>
      <c r="E193" s="171"/>
      <c r="F193" s="171">
        <v>24.945</v>
      </c>
      <c r="G193" s="168">
        <v>12.584</v>
      </c>
      <c r="H193" s="276">
        <v>12.361000000000001</v>
      </c>
      <c r="I193" s="44">
        <f t="shared" si="5"/>
        <v>21.687344050216918</v>
      </c>
      <c r="J193" s="44">
        <f t="shared" si="6"/>
        <v>8.8899388682614194E-3</v>
      </c>
    </row>
    <row r="194" spans="2:10" x14ac:dyDescent="0.35">
      <c r="B194" s="265">
        <v>186</v>
      </c>
      <c r="C194" s="67" t="s">
        <v>263</v>
      </c>
      <c r="D194" s="57">
        <v>4.9989999999999997</v>
      </c>
      <c r="E194" s="171"/>
      <c r="F194" s="171">
        <v>24.582000000000001</v>
      </c>
      <c r="G194" s="168">
        <v>13.901999999999999</v>
      </c>
      <c r="H194" s="276">
        <v>10.68</v>
      </c>
      <c r="I194" s="44">
        <f t="shared" si="5"/>
        <v>491.73834766953394</v>
      </c>
      <c r="J194" s="44">
        <f t="shared" si="6"/>
        <v>8.7605723495531064E-3</v>
      </c>
    </row>
    <row r="195" spans="2:10" x14ac:dyDescent="0.35">
      <c r="B195" s="265">
        <v>187</v>
      </c>
      <c r="C195" s="67" t="s">
        <v>212</v>
      </c>
      <c r="D195" s="57">
        <v>106.76600000000001</v>
      </c>
      <c r="E195" s="171"/>
      <c r="F195" s="171">
        <v>21.456</v>
      </c>
      <c r="G195" s="168">
        <v>12.13</v>
      </c>
      <c r="H195" s="276">
        <v>9.3260000000000005</v>
      </c>
      <c r="I195" s="44">
        <f t="shared" si="5"/>
        <v>20.096285334282449</v>
      </c>
      <c r="J195" s="44">
        <f t="shared" si="6"/>
        <v>7.6465234859658055E-3</v>
      </c>
    </row>
    <row r="196" spans="2:10" x14ac:dyDescent="0.35">
      <c r="B196" s="265">
        <v>188</v>
      </c>
      <c r="C196" s="67" t="s">
        <v>230</v>
      </c>
      <c r="D196" s="57">
        <v>62.273000000000003</v>
      </c>
      <c r="E196" s="171"/>
      <c r="F196" s="171">
        <v>21.106999999999999</v>
      </c>
      <c r="G196" s="168">
        <v>10.795</v>
      </c>
      <c r="H196" s="276">
        <v>10.311999999999999</v>
      </c>
      <c r="I196" s="44">
        <f t="shared" si="5"/>
        <v>33.89430411253673</v>
      </c>
      <c r="J196" s="44">
        <f t="shared" si="6"/>
        <v>7.5221463095768212E-3</v>
      </c>
    </row>
    <row r="197" spans="2:10" x14ac:dyDescent="0.35">
      <c r="B197" s="265">
        <v>189</v>
      </c>
      <c r="C197" s="67" t="s">
        <v>256</v>
      </c>
      <c r="D197" s="57">
        <v>17.564</v>
      </c>
      <c r="E197" s="171"/>
      <c r="F197" s="171">
        <v>21.106000000000002</v>
      </c>
      <c r="G197" s="168">
        <v>10.653</v>
      </c>
      <c r="H197" s="276">
        <v>10.452999999999999</v>
      </c>
      <c r="I197" s="44">
        <f t="shared" si="5"/>
        <v>120.16624914598042</v>
      </c>
      <c r="J197" s="44">
        <f t="shared" si="6"/>
        <v>7.5217899279825841E-3</v>
      </c>
    </row>
    <row r="198" spans="2:10" x14ac:dyDescent="0.35">
      <c r="B198" s="265">
        <v>190</v>
      </c>
      <c r="C198" s="67" t="s">
        <v>174</v>
      </c>
      <c r="D198" s="57">
        <v>988.00199999999995</v>
      </c>
      <c r="E198" s="171"/>
      <c r="F198" s="171">
        <v>18.364999999999998</v>
      </c>
      <c r="G198" s="168">
        <v>9.0719999999999992</v>
      </c>
      <c r="H198" s="276">
        <v>9.2929999999999993</v>
      </c>
      <c r="I198" s="44">
        <f t="shared" si="5"/>
        <v>1.858801905259301</v>
      </c>
      <c r="J198" s="44">
        <f t="shared" si="6"/>
        <v>6.5449479781768275E-3</v>
      </c>
    </row>
    <row r="199" spans="2:10" x14ac:dyDescent="0.35">
      <c r="B199" s="265">
        <v>191</v>
      </c>
      <c r="C199" s="67" t="s">
        <v>247</v>
      </c>
      <c r="D199" s="57">
        <v>56.771999999999998</v>
      </c>
      <c r="E199" s="171"/>
      <c r="F199" s="171">
        <v>17.866</v>
      </c>
      <c r="G199" s="168">
        <v>10.208</v>
      </c>
      <c r="H199" s="276">
        <v>7.6580000000000004</v>
      </c>
      <c r="I199" s="44">
        <f t="shared" si="5"/>
        <v>31.469738603536957</v>
      </c>
      <c r="J199" s="44">
        <f t="shared" si="6"/>
        <v>6.3671135626521755E-3</v>
      </c>
    </row>
    <row r="200" spans="2:10" x14ac:dyDescent="0.35">
      <c r="B200" s="265">
        <v>192</v>
      </c>
      <c r="C200" s="67" t="s">
        <v>183</v>
      </c>
      <c r="D200" s="57">
        <v>173.85900000000001</v>
      </c>
      <c r="E200" s="171"/>
      <c r="F200" s="171">
        <v>17.158000000000001</v>
      </c>
      <c r="G200" s="168">
        <v>8.3219999999999992</v>
      </c>
      <c r="H200" s="276">
        <v>8.8360000000000003</v>
      </c>
      <c r="I200" s="44">
        <f t="shared" ref="I200:I243" si="7">(F200/D200)*100</f>
        <v>9.8689167658850003</v>
      </c>
      <c r="J200" s="44">
        <f t="shared" si="6"/>
        <v>6.1147953939318291E-3</v>
      </c>
    </row>
    <row r="201" spans="2:10" x14ac:dyDescent="0.35">
      <c r="B201" s="265">
        <v>193</v>
      </c>
      <c r="C201" s="67" t="s">
        <v>239</v>
      </c>
      <c r="D201" s="57">
        <v>33.691000000000003</v>
      </c>
      <c r="E201" s="171"/>
      <c r="F201" s="171">
        <v>13.388999999999999</v>
      </c>
      <c r="G201" s="168">
        <v>6.9550000000000001</v>
      </c>
      <c r="H201" s="276">
        <v>6.4340000000000002</v>
      </c>
      <c r="I201" s="44">
        <f t="shared" si="7"/>
        <v>39.740583538630489</v>
      </c>
      <c r="J201" s="44">
        <f t="shared" ref="J201:J244" si="8">(F201/$F$8)*100</f>
        <v>4.7715931652496353E-3</v>
      </c>
    </row>
    <row r="202" spans="2:10" x14ac:dyDescent="0.35">
      <c r="B202" s="265">
        <v>194</v>
      </c>
      <c r="C202" s="67" t="s">
        <v>195</v>
      </c>
      <c r="D202" s="57">
        <v>375.26499999999999</v>
      </c>
      <c r="E202" s="171"/>
      <c r="F202" s="171">
        <v>12.962999999999999</v>
      </c>
      <c r="G202" s="168">
        <v>7.34</v>
      </c>
      <c r="H202" s="276">
        <v>5.6230000000000002</v>
      </c>
      <c r="I202" s="44">
        <f t="shared" si="7"/>
        <v>3.4543589196967477</v>
      </c>
      <c r="J202" s="44">
        <f t="shared" si="8"/>
        <v>4.6197746061043404E-3</v>
      </c>
    </row>
    <row r="203" spans="2:10" x14ac:dyDescent="0.35">
      <c r="B203" s="265">
        <v>195</v>
      </c>
      <c r="C203" s="67" t="s">
        <v>246</v>
      </c>
      <c r="D203" s="57">
        <v>48.865000000000002</v>
      </c>
      <c r="E203" s="171"/>
      <c r="F203" s="171">
        <v>12.927</v>
      </c>
      <c r="G203" s="168">
        <v>7.4160000000000004</v>
      </c>
      <c r="H203" s="276">
        <v>5.5110000000000001</v>
      </c>
      <c r="I203" s="44">
        <f t="shared" si="7"/>
        <v>26.454517548347482</v>
      </c>
      <c r="J203" s="44">
        <f t="shared" si="8"/>
        <v>4.6069448687117813E-3</v>
      </c>
    </row>
    <row r="204" spans="2:10" x14ac:dyDescent="0.35">
      <c r="B204" s="265">
        <v>196</v>
      </c>
      <c r="C204" s="67" t="s">
        <v>178</v>
      </c>
      <c r="D204" s="57">
        <v>400.12700000000001</v>
      </c>
      <c r="E204" s="171"/>
      <c r="F204" s="171">
        <v>12.542</v>
      </c>
      <c r="G204" s="168">
        <v>7.5890000000000004</v>
      </c>
      <c r="H204" s="276">
        <v>4.9530000000000003</v>
      </c>
      <c r="I204" s="44">
        <f t="shared" si="7"/>
        <v>3.1345047947276736</v>
      </c>
      <c r="J204" s="44">
        <f t="shared" si="8"/>
        <v>4.4697379549302352E-3</v>
      </c>
    </row>
    <row r="205" spans="2:10" x14ac:dyDescent="0.35">
      <c r="B205" s="265">
        <v>197</v>
      </c>
      <c r="C205" s="67" t="s">
        <v>277</v>
      </c>
      <c r="D205" s="57">
        <v>85.031999999999996</v>
      </c>
      <c r="E205" s="171"/>
      <c r="F205" s="171">
        <v>12.032</v>
      </c>
      <c r="G205" s="168">
        <v>6.2160000000000002</v>
      </c>
      <c r="H205" s="276">
        <v>5.8159999999999998</v>
      </c>
      <c r="I205" s="44">
        <f t="shared" si="7"/>
        <v>14.149967071220246</v>
      </c>
      <c r="J205" s="44">
        <f t="shared" si="8"/>
        <v>4.2879833418689676E-3</v>
      </c>
    </row>
    <row r="206" spans="2:10" x14ac:dyDescent="0.35">
      <c r="B206" s="265">
        <v>198</v>
      </c>
      <c r="C206" s="67" t="s">
        <v>264</v>
      </c>
      <c r="D206" s="57">
        <v>11.246</v>
      </c>
      <c r="E206" s="171"/>
      <c r="F206" s="171">
        <v>11.917</v>
      </c>
      <c r="G206" s="168">
        <v>6.2439999999999998</v>
      </c>
      <c r="H206" s="276">
        <v>5.673</v>
      </c>
      <c r="I206" s="44">
        <f t="shared" si="7"/>
        <v>105.96656589009426</v>
      </c>
      <c r="J206" s="44">
        <f t="shared" si="8"/>
        <v>4.2469994585316237E-3</v>
      </c>
    </row>
    <row r="207" spans="2:10" x14ac:dyDescent="0.35">
      <c r="B207" s="265">
        <v>199</v>
      </c>
      <c r="C207" s="67" t="s">
        <v>206</v>
      </c>
      <c r="D207" s="57">
        <v>77.265000000000001</v>
      </c>
      <c r="E207" s="171"/>
      <c r="F207" s="171">
        <v>11.132</v>
      </c>
      <c r="G207" s="168">
        <v>5.83</v>
      </c>
      <c r="H207" s="276">
        <v>5.3019999999999996</v>
      </c>
      <c r="I207" s="44">
        <f t="shared" si="7"/>
        <v>14.407558402899113</v>
      </c>
      <c r="J207" s="44">
        <f t="shared" si="8"/>
        <v>3.9672399070549659E-3</v>
      </c>
    </row>
    <row r="208" spans="2:10" x14ac:dyDescent="0.35">
      <c r="B208" s="265">
        <v>200</v>
      </c>
      <c r="C208" s="67" t="s">
        <v>257</v>
      </c>
      <c r="D208" s="57">
        <v>59.194000000000003</v>
      </c>
      <c r="E208" s="171"/>
      <c r="F208" s="171">
        <v>10.885999999999999</v>
      </c>
      <c r="G208" s="168">
        <v>5.5709999999999997</v>
      </c>
      <c r="H208" s="276">
        <v>5.3150000000000004</v>
      </c>
      <c r="I208" s="44">
        <f t="shared" si="7"/>
        <v>18.390377403115181</v>
      </c>
      <c r="J208" s="44">
        <f t="shared" si="8"/>
        <v>3.8795700348724718E-3</v>
      </c>
    </row>
    <row r="209" spans="2:10" x14ac:dyDescent="0.35">
      <c r="B209" s="265">
        <v>201</v>
      </c>
      <c r="C209" s="67" t="s">
        <v>235</v>
      </c>
      <c r="D209" s="57">
        <v>26.221</v>
      </c>
      <c r="E209" s="171"/>
      <c r="F209" s="171">
        <v>8.1479999999999997</v>
      </c>
      <c r="G209" s="168">
        <v>4.4909999999999997</v>
      </c>
      <c r="H209" s="276">
        <v>3.657</v>
      </c>
      <c r="I209" s="44">
        <f t="shared" si="7"/>
        <v>31.074329735708016</v>
      </c>
      <c r="J209" s="44">
        <f t="shared" si="8"/>
        <v>2.9037972298494308E-3</v>
      </c>
    </row>
    <row r="210" spans="2:10" x14ac:dyDescent="0.35">
      <c r="B210" s="265">
        <v>202</v>
      </c>
      <c r="C210" s="67" t="s">
        <v>209</v>
      </c>
      <c r="D210" s="57">
        <v>164.1</v>
      </c>
      <c r="E210" s="171"/>
      <c r="F210" s="171">
        <v>7.6109999999999998</v>
      </c>
      <c r="G210" s="168">
        <v>3.8109999999999999</v>
      </c>
      <c r="H210" s="276">
        <v>3.8</v>
      </c>
      <c r="I210" s="44">
        <f t="shared" si="7"/>
        <v>4.6380255941499087</v>
      </c>
      <c r="J210" s="44">
        <f t="shared" si="8"/>
        <v>2.7124203137437429E-3</v>
      </c>
    </row>
    <row r="211" spans="2:10" x14ac:dyDescent="0.35">
      <c r="B211" s="265">
        <v>203</v>
      </c>
      <c r="C211" s="67" t="s">
        <v>258</v>
      </c>
      <c r="D211" s="57">
        <v>307.14999999999998</v>
      </c>
      <c r="E211" s="171"/>
      <c r="F211" s="171">
        <v>7.2460000000000004</v>
      </c>
      <c r="G211" s="168">
        <v>3.8159999999999998</v>
      </c>
      <c r="H211" s="276">
        <v>3.43</v>
      </c>
      <c r="I211" s="44">
        <f t="shared" si="7"/>
        <v>2.3591079277226115</v>
      </c>
      <c r="J211" s="44">
        <f t="shared" si="8"/>
        <v>2.5823410318469536E-3</v>
      </c>
    </row>
    <row r="212" spans="2:10" x14ac:dyDescent="0.35">
      <c r="B212" s="265">
        <v>204</v>
      </c>
      <c r="C212" s="67" t="s">
        <v>190</v>
      </c>
      <c r="D212" s="57">
        <v>272.81299999999999</v>
      </c>
      <c r="E212" s="171"/>
      <c r="F212" s="171">
        <v>6.7670000000000003</v>
      </c>
      <c r="G212" s="168">
        <v>3.4620000000000002</v>
      </c>
      <c r="H212" s="276">
        <v>3.3050000000000002</v>
      </c>
      <c r="I212" s="44">
        <f t="shared" si="7"/>
        <v>2.4804536440712139</v>
      </c>
      <c r="J212" s="44">
        <f t="shared" si="8"/>
        <v>2.4116342482070571E-3</v>
      </c>
    </row>
    <row r="213" spans="2:10" x14ac:dyDescent="0.35">
      <c r="B213" s="265">
        <v>205</v>
      </c>
      <c r="C213" s="67" t="s">
        <v>191</v>
      </c>
      <c r="D213" s="57">
        <v>285.49099999999999</v>
      </c>
      <c r="E213" s="171"/>
      <c r="F213" s="171">
        <v>5.8390000000000004</v>
      </c>
      <c r="G213" s="168">
        <v>2.984</v>
      </c>
      <c r="H213" s="276">
        <v>2.855</v>
      </c>
      <c r="I213" s="44">
        <f t="shared" si="7"/>
        <v>2.0452483615945862</v>
      </c>
      <c r="J213" s="44">
        <f t="shared" si="8"/>
        <v>2.0809121287543968E-3</v>
      </c>
    </row>
    <row r="214" spans="2:10" x14ac:dyDescent="0.35">
      <c r="B214" s="265">
        <v>206</v>
      </c>
      <c r="C214" s="67" t="s">
        <v>229</v>
      </c>
      <c r="D214" s="57">
        <v>30.236999999999998</v>
      </c>
      <c r="E214" s="171"/>
      <c r="F214" s="171">
        <v>5.3550000000000004</v>
      </c>
      <c r="G214" s="168">
        <v>3.012</v>
      </c>
      <c r="H214" s="276">
        <v>2.343</v>
      </c>
      <c r="I214" s="44">
        <f t="shared" si="7"/>
        <v>17.710090286734797</v>
      </c>
      <c r="J214" s="44">
        <f t="shared" si="8"/>
        <v>1.9084234371433114E-3</v>
      </c>
    </row>
    <row r="215" spans="2:10" x14ac:dyDescent="0.35">
      <c r="B215" s="265">
        <v>207</v>
      </c>
      <c r="C215" s="67" t="s">
        <v>267</v>
      </c>
      <c r="D215" s="57">
        <v>1.6180000000000001</v>
      </c>
      <c r="E215" s="171"/>
      <c r="F215" s="171">
        <v>5.1859999999999999</v>
      </c>
      <c r="G215" s="168">
        <v>2.6309999999999998</v>
      </c>
      <c r="H215" s="276">
        <v>2.5550000000000002</v>
      </c>
      <c r="I215" s="44">
        <f t="shared" si="7"/>
        <v>320.51915945611864</v>
      </c>
      <c r="J215" s="44">
        <f t="shared" si="8"/>
        <v>1.8481949477171264E-3</v>
      </c>
    </row>
    <row r="216" spans="2:10" x14ac:dyDescent="0.35">
      <c r="B216" s="265">
        <v>208</v>
      </c>
      <c r="C216" s="67" t="s">
        <v>259</v>
      </c>
      <c r="D216" s="57">
        <v>119.446</v>
      </c>
      <c r="E216" s="171"/>
      <c r="F216" s="171">
        <v>5.1029999999999998</v>
      </c>
      <c r="G216" s="168">
        <v>2.6080000000000001</v>
      </c>
      <c r="H216" s="276">
        <v>2.4950000000000001</v>
      </c>
      <c r="I216" s="44">
        <f t="shared" si="7"/>
        <v>4.2722234315087988</v>
      </c>
      <c r="J216" s="44">
        <f t="shared" si="8"/>
        <v>1.8186152753953907E-3</v>
      </c>
    </row>
    <row r="217" spans="2:10" x14ac:dyDescent="0.35">
      <c r="B217" s="265">
        <v>209</v>
      </c>
      <c r="C217" s="67" t="s">
        <v>269</v>
      </c>
      <c r="D217" s="57">
        <v>6.0709999999999997</v>
      </c>
      <c r="E217" s="171"/>
      <c r="F217" s="171">
        <v>4.8849999999999998</v>
      </c>
      <c r="G217" s="168">
        <v>2.9039999999999999</v>
      </c>
      <c r="H217" s="276">
        <v>1.9810000000000001</v>
      </c>
      <c r="I217" s="44">
        <f t="shared" si="7"/>
        <v>80.464503376708933</v>
      </c>
      <c r="J217" s="44">
        <f t="shared" si="8"/>
        <v>1.7409240878515548E-3</v>
      </c>
    </row>
    <row r="218" spans="2:10" x14ac:dyDescent="0.35">
      <c r="B218" s="265">
        <v>210</v>
      </c>
      <c r="C218" s="67" t="s">
        <v>217</v>
      </c>
      <c r="D218" s="57">
        <v>8947.027</v>
      </c>
      <c r="E218" s="171"/>
      <c r="F218" s="171">
        <v>4.8099999999999996</v>
      </c>
      <c r="G218" s="168">
        <v>2.4569999999999999</v>
      </c>
      <c r="H218" s="276">
        <v>2.3530000000000002</v>
      </c>
      <c r="I218" s="44">
        <f t="shared" si="7"/>
        <v>5.3760874981152958E-2</v>
      </c>
      <c r="J218" s="44">
        <f t="shared" si="8"/>
        <v>1.7141954682837214E-3</v>
      </c>
    </row>
    <row r="219" spans="2:10" x14ac:dyDescent="0.35">
      <c r="B219" s="265">
        <v>211</v>
      </c>
      <c r="C219" s="67" t="s">
        <v>172</v>
      </c>
      <c r="D219" s="57">
        <v>298.68200000000002</v>
      </c>
      <c r="E219" s="171"/>
      <c r="F219" s="171">
        <v>4.5949999999999998</v>
      </c>
      <c r="G219" s="168">
        <v>2.6909999999999998</v>
      </c>
      <c r="H219" s="276">
        <v>1.9039999999999999</v>
      </c>
      <c r="I219" s="44">
        <f t="shared" si="7"/>
        <v>1.5384254826203119</v>
      </c>
      <c r="J219" s="44">
        <f t="shared" si="8"/>
        <v>1.6375734255225985E-3</v>
      </c>
    </row>
    <row r="220" spans="2:10" x14ac:dyDescent="0.35">
      <c r="B220" s="265">
        <v>212</v>
      </c>
      <c r="C220" s="67" t="s">
        <v>260</v>
      </c>
      <c r="D220" s="57">
        <v>686.87800000000004</v>
      </c>
      <c r="E220" s="171"/>
      <c r="F220" s="171">
        <v>4.2699999999999996</v>
      </c>
      <c r="G220" s="168">
        <v>2.198</v>
      </c>
      <c r="H220" s="276">
        <v>2.0720000000000001</v>
      </c>
      <c r="I220" s="44">
        <f t="shared" si="7"/>
        <v>0.62165333581800541</v>
      </c>
      <c r="J220" s="44">
        <f t="shared" si="8"/>
        <v>1.5217494073953201E-3</v>
      </c>
    </row>
    <row r="221" spans="2:10" x14ac:dyDescent="0.35">
      <c r="B221" s="265">
        <v>213</v>
      </c>
      <c r="C221" s="67" t="s">
        <v>198</v>
      </c>
      <c r="D221" s="57">
        <v>104.423</v>
      </c>
      <c r="E221" s="171"/>
      <c r="F221" s="171">
        <v>3.9079999999999999</v>
      </c>
      <c r="G221" s="168">
        <v>1.7390000000000001</v>
      </c>
      <c r="H221" s="276">
        <v>2.169</v>
      </c>
      <c r="I221" s="44">
        <f t="shared" si="7"/>
        <v>3.7424705285234094</v>
      </c>
      <c r="J221" s="44">
        <f t="shared" si="8"/>
        <v>1.3927392702812438E-3</v>
      </c>
    </row>
    <row r="222" spans="2:10" x14ac:dyDescent="0.35">
      <c r="B222" s="265">
        <v>214</v>
      </c>
      <c r="C222" s="67" t="s">
        <v>193</v>
      </c>
      <c r="D222" s="57">
        <v>540.54200000000003</v>
      </c>
      <c r="E222" s="171"/>
      <c r="F222" s="171">
        <v>3.7149999999999999</v>
      </c>
      <c r="G222" s="168">
        <v>1.97</v>
      </c>
      <c r="H222" s="276">
        <v>1.7450000000000001</v>
      </c>
      <c r="I222" s="44">
        <f t="shared" si="7"/>
        <v>0.68727314436251019</v>
      </c>
      <c r="J222" s="44">
        <f t="shared" si="8"/>
        <v>1.3239576225933523E-3</v>
      </c>
    </row>
    <row r="223" spans="2:10" x14ac:dyDescent="0.35">
      <c r="B223" s="265">
        <v>215</v>
      </c>
      <c r="C223" s="67" t="s">
        <v>223</v>
      </c>
      <c r="D223" s="57">
        <v>38.137</v>
      </c>
      <c r="E223" s="171"/>
      <c r="F223" s="171">
        <v>3.706</v>
      </c>
      <c r="G223" s="168">
        <v>2.0510000000000002</v>
      </c>
      <c r="H223" s="276">
        <v>1.655</v>
      </c>
      <c r="I223" s="44">
        <f t="shared" si="7"/>
        <v>9.7175970841964503</v>
      </c>
      <c r="J223" s="44">
        <f t="shared" si="8"/>
        <v>1.3207501882452125E-3</v>
      </c>
    </row>
    <row r="224" spans="2:10" x14ac:dyDescent="0.35">
      <c r="B224" s="265">
        <v>216</v>
      </c>
      <c r="C224" s="67" t="s">
        <v>270</v>
      </c>
      <c r="D224" s="57">
        <v>11.792</v>
      </c>
      <c r="E224" s="171"/>
      <c r="F224" s="171">
        <v>3.67</v>
      </c>
      <c r="G224" s="168">
        <v>1.8540000000000001</v>
      </c>
      <c r="H224" s="276">
        <v>1.8160000000000001</v>
      </c>
      <c r="I224" s="44">
        <f t="shared" si="7"/>
        <v>31.12279511533243</v>
      </c>
      <c r="J224" s="44">
        <f t="shared" si="8"/>
        <v>1.3079204508526523E-3</v>
      </c>
    </row>
    <row r="225" spans="2:10" x14ac:dyDescent="0.35">
      <c r="B225" s="265">
        <v>217</v>
      </c>
      <c r="C225" s="67" t="s">
        <v>170</v>
      </c>
      <c r="D225" s="57">
        <v>895.30799999999999</v>
      </c>
      <c r="E225" s="171"/>
      <c r="F225" s="171">
        <v>3.0640000000000001</v>
      </c>
      <c r="G225" s="168">
        <v>1.875</v>
      </c>
      <c r="H225" s="276">
        <v>1.1890000000000001</v>
      </c>
      <c r="I225" s="44">
        <f t="shared" si="7"/>
        <v>0.34222859619259516</v>
      </c>
      <c r="J225" s="44">
        <f t="shared" si="8"/>
        <v>1.0919532047445576E-3</v>
      </c>
    </row>
    <row r="226" spans="2:10" x14ac:dyDescent="0.35">
      <c r="B226" s="265">
        <v>218</v>
      </c>
      <c r="C226" s="67" t="s">
        <v>227</v>
      </c>
      <c r="D226" s="57">
        <v>57.557000000000002</v>
      </c>
      <c r="E226" s="171"/>
      <c r="F226" s="171">
        <v>2.7410000000000001</v>
      </c>
      <c r="G226" s="168">
        <v>1.34</v>
      </c>
      <c r="H226" s="276">
        <v>1.401</v>
      </c>
      <c r="I226" s="44">
        <f t="shared" si="7"/>
        <v>4.762235696787533</v>
      </c>
      <c r="J226" s="44">
        <f t="shared" si="8"/>
        <v>9.7684194980575487E-4</v>
      </c>
    </row>
    <row r="227" spans="2:10" x14ac:dyDescent="0.35">
      <c r="B227" s="265">
        <v>219</v>
      </c>
      <c r="C227" s="67" t="s">
        <v>224</v>
      </c>
      <c r="D227" s="57">
        <v>38.718000000000004</v>
      </c>
      <c r="E227" s="171"/>
      <c r="F227" s="171">
        <v>2.6890000000000001</v>
      </c>
      <c r="G227" s="168">
        <v>1.5529999999999999</v>
      </c>
      <c r="H227" s="276">
        <v>1.1359999999999999</v>
      </c>
      <c r="I227" s="44">
        <f t="shared" si="7"/>
        <v>6.9450901389534581</v>
      </c>
      <c r="J227" s="44">
        <f t="shared" si="8"/>
        <v>9.5831010690539033E-4</v>
      </c>
    </row>
    <row r="228" spans="2:10" x14ac:dyDescent="0.35">
      <c r="B228" s="265">
        <v>220</v>
      </c>
      <c r="C228" s="67" t="s">
        <v>251</v>
      </c>
      <c r="D228" s="57">
        <v>18.091999999999999</v>
      </c>
      <c r="E228" s="171"/>
      <c r="F228" s="171">
        <v>2.6560000000000001</v>
      </c>
      <c r="G228" s="168">
        <v>1.27</v>
      </c>
      <c r="H228" s="276">
        <v>1.3859999999999999</v>
      </c>
      <c r="I228" s="44">
        <f t="shared" si="7"/>
        <v>14.680521777581253</v>
      </c>
      <c r="J228" s="44">
        <f t="shared" si="8"/>
        <v>9.4654951429554352E-4</v>
      </c>
    </row>
    <row r="229" spans="2:10" x14ac:dyDescent="0.35">
      <c r="B229" s="265">
        <v>221</v>
      </c>
      <c r="C229" s="67" t="s">
        <v>248</v>
      </c>
      <c r="D229" s="57">
        <v>15.002000000000001</v>
      </c>
      <c r="E229" s="171"/>
      <c r="F229" s="171">
        <v>2.5049999999999999</v>
      </c>
      <c r="G229" s="168">
        <v>1.212</v>
      </c>
      <c r="H229" s="276">
        <v>1.2929999999999999</v>
      </c>
      <c r="I229" s="44">
        <f t="shared" si="7"/>
        <v>16.697773630182642</v>
      </c>
      <c r="J229" s="44">
        <f t="shared" si="8"/>
        <v>8.9273589356563866E-4</v>
      </c>
    </row>
    <row r="230" spans="2:10" x14ac:dyDescent="0.35">
      <c r="B230" s="265">
        <v>222</v>
      </c>
      <c r="C230" s="67" t="s">
        <v>262</v>
      </c>
      <c r="D230" s="57">
        <v>10.834</v>
      </c>
      <c r="E230" s="171"/>
      <c r="F230" s="171">
        <v>2.4540000000000002</v>
      </c>
      <c r="G230" s="168">
        <v>1.24</v>
      </c>
      <c r="H230" s="276">
        <v>1.214</v>
      </c>
      <c r="I230" s="44">
        <f t="shared" si="7"/>
        <v>22.650913789920622</v>
      </c>
      <c r="J230" s="44">
        <f t="shared" si="8"/>
        <v>8.7456043225951196E-4</v>
      </c>
    </row>
    <row r="231" spans="2:10" x14ac:dyDescent="0.35">
      <c r="B231" s="265">
        <v>223</v>
      </c>
      <c r="C231" s="67" t="s">
        <v>249</v>
      </c>
      <c r="D231" s="57">
        <v>33.938000000000002</v>
      </c>
      <c r="E231" s="171"/>
      <c r="F231" s="171">
        <v>2.407</v>
      </c>
      <c r="G231" s="168">
        <v>1.421</v>
      </c>
      <c r="H231" s="276">
        <v>0.98599999999999999</v>
      </c>
      <c r="I231" s="44">
        <f t="shared" si="7"/>
        <v>7.0923448641640627</v>
      </c>
      <c r="J231" s="44">
        <f t="shared" si="8"/>
        <v>8.5781049733033628E-4</v>
      </c>
    </row>
    <row r="232" spans="2:10" x14ac:dyDescent="0.35">
      <c r="B232" s="265">
        <v>224</v>
      </c>
      <c r="C232" s="67" t="s">
        <v>186</v>
      </c>
      <c r="D232" s="57">
        <v>168.78299999999999</v>
      </c>
      <c r="E232" s="171"/>
      <c r="F232" s="171">
        <v>2.2130000000000001</v>
      </c>
      <c r="G232" s="168">
        <v>1.206</v>
      </c>
      <c r="H232" s="276">
        <v>1.0069999999999999</v>
      </c>
      <c r="I232" s="44">
        <f t="shared" si="7"/>
        <v>1.3111510045442967</v>
      </c>
      <c r="J232" s="44">
        <f t="shared" si="8"/>
        <v>7.8867246804820688E-4</v>
      </c>
    </row>
    <row r="233" spans="2:10" x14ac:dyDescent="0.35">
      <c r="B233" s="265">
        <v>225</v>
      </c>
      <c r="C233" s="67" t="s">
        <v>278</v>
      </c>
      <c r="D233" s="57">
        <v>42.881999999999998</v>
      </c>
      <c r="E233" s="171"/>
      <c r="F233" s="171">
        <v>2.1909999999999998</v>
      </c>
      <c r="G233" s="168">
        <v>1.1259999999999999</v>
      </c>
      <c r="H233" s="276">
        <v>1.0649999999999999</v>
      </c>
      <c r="I233" s="44">
        <f t="shared" si="7"/>
        <v>5.1093698987920337</v>
      </c>
      <c r="J233" s="44">
        <f t="shared" si="8"/>
        <v>7.8083207297497575E-4</v>
      </c>
    </row>
    <row r="234" spans="2:10" x14ac:dyDescent="0.35">
      <c r="B234" s="265">
        <v>226</v>
      </c>
      <c r="C234" s="67" t="s">
        <v>323</v>
      </c>
      <c r="D234" s="57">
        <v>280.904</v>
      </c>
      <c r="E234" s="171"/>
      <c r="F234" s="171">
        <v>2.157</v>
      </c>
      <c r="G234" s="168">
        <v>0.97</v>
      </c>
      <c r="H234" s="276">
        <v>1.1870000000000001</v>
      </c>
      <c r="I234" s="44">
        <f t="shared" si="7"/>
        <v>0.76787799390539124</v>
      </c>
      <c r="J234" s="44">
        <f t="shared" si="8"/>
        <v>7.6871509877089121E-4</v>
      </c>
    </row>
    <row r="235" spans="2:10" x14ac:dyDescent="0.35">
      <c r="B235" s="265">
        <v>227</v>
      </c>
      <c r="C235" s="67" t="s">
        <v>268</v>
      </c>
      <c r="D235" s="57">
        <v>1.35</v>
      </c>
      <c r="E235" s="171"/>
      <c r="F235" s="171">
        <v>2.1120000000000001</v>
      </c>
      <c r="G235" s="168">
        <v>1.044</v>
      </c>
      <c r="H235" s="276">
        <v>1.0680000000000001</v>
      </c>
      <c r="I235" s="44">
        <f t="shared" si="7"/>
        <v>156.44444444444443</v>
      </c>
      <c r="J235" s="44">
        <f t="shared" si="8"/>
        <v>7.5267792703019121E-4</v>
      </c>
    </row>
    <row r="236" spans="2:10" x14ac:dyDescent="0.35">
      <c r="B236" s="265">
        <v>228</v>
      </c>
      <c r="C236" s="67" t="s">
        <v>219</v>
      </c>
      <c r="D236" s="57">
        <v>65.72</v>
      </c>
      <c r="E236" s="171"/>
      <c r="F236" s="171">
        <v>1.9079999999999999</v>
      </c>
      <c r="G236" s="168">
        <v>1.0449999999999999</v>
      </c>
      <c r="H236" s="276">
        <v>0.86299999999999999</v>
      </c>
      <c r="I236" s="44">
        <f t="shared" si="7"/>
        <v>2.9032258064516125</v>
      </c>
      <c r="J236" s="44">
        <f t="shared" si="8"/>
        <v>6.7997608180568408E-4</v>
      </c>
    </row>
    <row r="237" spans="2:10" x14ac:dyDescent="0.35">
      <c r="B237" s="265">
        <v>229</v>
      </c>
      <c r="C237" s="67" t="s">
        <v>225</v>
      </c>
      <c r="D237" s="57">
        <v>55.197000000000003</v>
      </c>
      <c r="E237" s="171"/>
      <c r="F237" s="171">
        <v>1.8320000000000001</v>
      </c>
      <c r="G237" s="168">
        <v>0.90800000000000003</v>
      </c>
      <c r="H237" s="284">
        <v>0.92400000000000004</v>
      </c>
      <c r="I237" s="44">
        <f t="shared" si="7"/>
        <v>3.3190209612841275</v>
      </c>
      <c r="J237" s="44">
        <f t="shared" si="8"/>
        <v>6.5289108064361283E-4</v>
      </c>
    </row>
    <row r="238" spans="2:10" x14ac:dyDescent="0.35">
      <c r="B238" s="265">
        <v>230</v>
      </c>
      <c r="C238" s="67" t="s">
        <v>280</v>
      </c>
      <c r="D238" s="57">
        <v>3.4830000000000001</v>
      </c>
      <c r="E238" s="171"/>
      <c r="F238" s="171">
        <v>1.518</v>
      </c>
      <c r="G238" s="168">
        <v>0.88200000000000001</v>
      </c>
      <c r="H238" s="284">
        <v>0.63600000000000001</v>
      </c>
      <c r="I238" s="44">
        <f t="shared" si="7"/>
        <v>43.583118001722653</v>
      </c>
      <c r="J238" s="44">
        <f t="shared" si="8"/>
        <v>5.4098726005294992E-4</v>
      </c>
    </row>
    <row r="239" spans="2:10" x14ac:dyDescent="0.35">
      <c r="B239" s="265">
        <v>231</v>
      </c>
      <c r="C239" s="67" t="s">
        <v>265</v>
      </c>
      <c r="D239" s="57">
        <v>5.7949999999999999</v>
      </c>
      <c r="E239" s="171"/>
      <c r="F239" s="274">
        <v>0.433</v>
      </c>
      <c r="G239" s="267">
        <v>0.191</v>
      </c>
      <c r="H239" s="284">
        <v>0.24199999999999999</v>
      </c>
      <c r="I239" s="44">
        <f t="shared" si="7"/>
        <v>7.4719585849870578</v>
      </c>
      <c r="J239" s="44">
        <f t="shared" si="8"/>
        <v>1.543132303049587E-4</v>
      </c>
    </row>
    <row r="240" spans="2:10" x14ac:dyDescent="0.35">
      <c r="B240" s="265">
        <v>232</v>
      </c>
      <c r="C240" s="67" t="s">
        <v>266</v>
      </c>
      <c r="D240" s="57">
        <v>0.80900000000000005</v>
      </c>
      <c r="E240" s="170"/>
      <c r="F240" s="274">
        <v>0.17399999999999999</v>
      </c>
      <c r="G240" s="267">
        <v>0.10299999999999999</v>
      </c>
      <c r="H240" s="284">
        <v>7.0999999999999994E-2</v>
      </c>
      <c r="I240" s="245">
        <f t="shared" si="7"/>
        <v>21.508034610630407</v>
      </c>
      <c r="J240" s="245">
        <f t="shared" si="8"/>
        <v>6.20103973973737E-5</v>
      </c>
    </row>
    <row r="241" spans="2:11" x14ac:dyDescent="0.35">
      <c r="B241" s="265">
        <v>233</v>
      </c>
      <c r="C241" s="67" t="s">
        <v>324</v>
      </c>
      <c r="D241" s="57">
        <v>23816.775000000001</v>
      </c>
      <c r="E241" s="171"/>
      <c r="F241" s="252">
        <v>0</v>
      </c>
      <c r="G241" s="252">
        <v>0</v>
      </c>
      <c r="H241" s="252">
        <v>0</v>
      </c>
      <c r="I241" s="44">
        <f t="shared" si="7"/>
        <v>0</v>
      </c>
      <c r="J241" s="44">
        <f t="shared" si="8"/>
        <v>0</v>
      </c>
    </row>
    <row r="242" spans="2:11" x14ac:dyDescent="0.35">
      <c r="B242" s="265">
        <v>234</v>
      </c>
      <c r="C242" s="67" t="s">
        <v>327</v>
      </c>
      <c r="D242" s="57">
        <v>38.658999999999999</v>
      </c>
      <c r="E242" s="171"/>
      <c r="F242" s="252">
        <v>0</v>
      </c>
      <c r="G242" s="252">
        <v>0</v>
      </c>
      <c r="H242" s="252">
        <v>0</v>
      </c>
      <c r="I242" s="44">
        <f t="shared" si="7"/>
        <v>0</v>
      </c>
      <c r="J242" s="44">
        <f t="shared" si="8"/>
        <v>0</v>
      </c>
    </row>
    <row r="243" spans="2:11" x14ac:dyDescent="0.35">
      <c r="B243" s="265">
        <v>235</v>
      </c>
      <c r="C243" s="67" t="s">
        <v>325</v>
      </c>
      <c r="D243" s="57">
        <v>9.8849999999999998</v>
      </c>
      <c r="E243" s="170"/>
      <c r="F243" s="252">
        <v>0</v>
      </c>
      <c r="G243" s="252">
        <v>0</v>
      </c>
      <c r="H243" s="252">
        <v>0</v>
      </c>
      <c r="I243" s="245">
        <f t="shared" si="7"/>
        <v>0</v>
      </c>
      <c r="J243" s="245">
        <f t="shared" si="8"/>
        <v>0</v>
      </c>
    </row>
    <row r="244" spans="2:11" x14ac:dyDescent="0.35">
      <c r="B244" s="265">
        <v>236</v>
      </c>
      <c r="C244" s="263" t="s">
        <v>84</v>
      </c>
      <c r="D244" s="264">
        <v>0</v>
      </c>
      <c r="E244" s="169"/>
      <c r="F244" s="275">
        <v>12657.151</v>
      </c>
      <c r="G244" s="169">
        <v>6123.9530000000004</v>
      </c>
      <c r="H244" s="277">
        <v>6533.1980000000003</v>
      </c>
      <c r="I244" s="264">
        <v>0</v>
      </c>
      <c r="J244" s="84">
        <f t="shared" si="8"/>
        <v>4.5107756518883102</v>
      </c>
    </row>
    <row r="245" spans="2:11" ht="15" customHeight="1" x14ac:dyDescent="0.35">
      <c r="D245" s="1"/>
      <c r="E245" s="1"/>
      <c r="F245" s="1"/>
      <c r="G245" s="1"/>
      <c r="H245" s="1"/>
      <c r="I245" s="1"/>
      <c r="J245" s="1"/>
    </row>
    <row r="246" spans="2:11" x14ac:dyDescent="0.35">
      <c r="B246" s="18" t="s">
        <v>284</v>
      </c>
      <c r="C246" s="18"/>
      <c r="D246" s="82"/>
      <c r="E246" s="82"/>
      <c r="F246" s="82"/>
      <c r="G246" s="82"/>
      <c r="H246" s="82"/>
      <c r="I246" s="82"/>
      <c r="J246" s="82"/>
      <c r="K246" s="18"/>
    </row>
    <row r="247" spans="2:11" x14ac:dyDescent="0.35">
      <c r="B247" s="288" t="s">
        <v>380</v>
      </c>
      <c r="C247" s="18"/>
      <c r="D247" s="82"/>
      <c r="E247" s="82"/>
      <c r="F247" s="82"/>
      <c r="G247" s="82"/>
      <c r="H247" s="82"/>
      <c r="I247" s="82"/>
      <c r="J247" s="82"/>
      <c r="K247" s="18"/>
    </row>
    <row r="248" spans="2:11" ht="18" customHeight="1" x14ac:dyDescent="0.35">
      <c r="B248" s="355" t="s">
        <v>329</v>
      </c>
      <c r="C248" s="355"/>
      <c r="D248" s="355"/>
      <c r="E248" s="355"/>
      <c r="F248" s="355"/>
      <c r="G248" s="355"/>
      <c r="H248" s="355"/>
      <c r="I248" s="355"/>
      <c r="J248" s="355"/>
      <c r="K248" s="228"/>
    </row>
    <row r="249" spans="2:11" ht="18" customHeight="1" x14ac:dyDescent="0.35">
      <c r="B249" s="355" t="s">
        <v>316</v>
      </c>
      <c r="C249" s="355"/>
      <c r="D249" s="355"/>
      <c r="E249" s="355"/>
      <c r="F249" s="355"/>
      <c r="G249" s="355"/>
      <c r="H249" s="355"/>
      <c r="I249" s="355"/>
      <c r="J249" s="355"/>
      <c r="K249" s="228"/>
    </row>
    <row r="250" spans="2:11" x14ac:dyDescent="0.35">
      <c r="B250" s="253" t="s">
        <v>321</v>
      </c>
      <c r="C250" s="18"/>
      <c r="D250" s="18"/>
      <c r="E250" s="82"/>
      <c r="F250" s="82"/>
      <c r="G250" s="82"/>
      <c r="H250" s="82"/>
      <c r="I250" s="82"/>
      <c r="J250" s="82"/>
      <c r="K250" s="82"/>
    </row>
    <row r="251" spans="2:11" x14ac:dyDescent="0.35"/>
  </sheetData>
  <mergeCells count="5">
    <mergeCell ref="B5:J5"/>
    <mergeCell ref="B248:J248"/>
    <mergeCell ref="B249:J249"/>
    <mergeCell ref="B7:C7"/>
    <mergeCell ref="B8:C8"/>
  </mergeCells>
  <hyperlinks>
    <hyperlink ref="C250" r:id="rId1" display="http://www.un.org/en/development/desa/population/migration/data/empirical2/index.shtml"/>
    <hyperlink ref="K7" location="Indice!A1" display="Volver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opLeftCell="B1" zoomScaleNormal="100" workbookViewId="0">
      <pane ySplit="6" topLeftCell="A22" activePane="bottomLeft" state="frozen"/>
      <selection activeCell="C7" sqref="C7:N7"/>
      <selection pane="bottomLeft" activeCell="C7" sqref="C7:N7"/>
    </sheetView>
  </sheetViews>
  <sheetFormatPr baseColWidth="10" defaultColWidth="0" defaultRowHeight="15" customHeight="1" zeroHeight="1" x14ac:dyDescent="0.25"/>
  <cols>
    <col min="1" max="1" width="2.85546875" style="130" customWidth="1"/>
    <col min="2" max="2" width="37.5703125" style="130" customWidth="1"/>
    <col min="3" max="3" width="27" style="130" customWidth="1"/>
    <col min="4" max="4" width="14.85546875" style="131" customWidth="1"/>
    <col min="5" max="5" width="25.85546875" style="130" customWidth="1"/>
    <col min="6" max="6" width="16" style="130" customWidth="1"/>
    <col min="7" max="7" width="23.140625" style="130" customWidth="1"/>
    <col min="8" max="8" width="13.5703125" style="130" customWidth="1"/>
    <col min="9" max="9" width="19.5703125" style="130" customWidth="1"/>
    <col min="10" max="10" width="16" style="130" customWidth="1"/>
    <col min="11" max="11" width="23.140625" style="130" customWidth="1"/>
    <col min="12" max="12" width="12.42578125" style="130" customWidth="1"/>
    <col min="13" max="13" width="11.85546875" style="130" customWidth="1"/>
    <col min="14" max="14" width="14" style="130" bestFit="1" customWidth="1"/>
    <col min="15" max="16384" width="10.85546875" style="130" hidden="1"/>
  </cols>
  <sheetData>
    <row r="1" spans="2:13" ht="15" customHeight="1" x14ac:dyDescent="0.25"/>
    <row r="2" spans="2:13" ht="15" customHeight="1" x14ac:dyDescent="0.25"/>
    <row r="3" spans="2:13" ht="15" customHeight="1" x14ac:dyDescent="0.25"/>
    <row r="4" spans="2:13" ht="15" customHeight="1" x14ac:dyDescent="0.25"/>
    <row r="5" spans="2:13" ht="15" customHeight="1" x14ac:dyDescent="0.25"/>
    <row r="6" spans="2:13" s="131" customFormat="1" ht="22.5" customHeight="1" x14ac:dyDescent="0.25">
      <c r="B6" s="361" t="s">
        <v>313</v>
      </c>
      <c r="C6" s="361"/>
      <c r="D6" s="361"/>
      <c r="E6" s="361"/>
      <c r="F6" s="361"/>
      <c r="G6" s="361"/>
      <c r="H6" s="361"/>
      <c r="I6" s="361"/>
      <c r="J6" s="361"/>
      <c r="K6" s="361"/>
      <c r="L6" s="313"/>
      <c r="M6" s="313"/>
    </row>
    <row r="7" spans="2:13" ht="14.25" customHeight="1" x14ac:dyDescent="0.25">
      <c r="B7" s="132"/>
    </row>
    <row r="8" spans="2:13" ht="26.25" customHeight="1" x14ac:dyDescent="0.25">
      <c r="B8" s="326" t="s">
        <v>374</v>
      </c>
      <c r="C8" s="326" t="s">
        <v>370</v>
      </c>
      <c r="D8" s="230" t="s">
        <v>300</v>
      </c>
      <c r="E8" s="148"/>
      <c r="F8" s="357" t="s">
        <v>375</v>
      </c>
      <c r="G8" s="357"/>
      <c r="H8" s="357"/>
      <c r="I8" s="230" t="s">
        <v>371</v>
      </c>
      <c r="J8" s="230" t="s">
        <v>300</v>
      </c>
      <c r="K8" s="236" t="s">
        <v>315</v>
      </c>
    </row>
    <row r="9" spans="2:13" ht="14.25" customHeight="1" x14ac:dyDescent="0.3">
      <c r="B9" s="316" t="s">
        <v>356</v>
      </c>
      <c r="C9" s="289">
        <v>37282592</v>
      </c>
      <c r="D9" s="134">
        <f t="shared" ref="D9:D18" si="0">C9/$C$20*100</f>
        <v>13.286829574276704</v>
      </c>
      <c r="F9" s="363" t="s">
        <v>356</v>
      </c>
      <c r="G9" s="363"/>
      <c r="H9" s="363"/>
      <c r="I9" s="292">
        <v>67604897</v>
      </c>
      <c r="J9" s="135">
        <f t="shared" ref="J9:J16" si="1">I9/$I$19*100</f>
        <v>24.093140971140915</v>
      </c>
    </row>
    <row r="10" spans="2:13" ht="14.25" customHeight="1" x14ac:dyDescent="0.3">
      <c r="B10" s="317" t="s">
        <v>357</v>
      </c>
      <c r="C10" s="289">
        <v>4327958</v>
      </c>
      <c r="D10" s="134">
        <f t="shared" si="0"/>
        <v>1.5424045718341539</v>
      </c>
      <c r="F10" s="363" t="s">
        <v>357</v>
      </c>
      <c r="G10" s="363"/>
      <c r="H10" s="363"/>
      <c r="I10" s="292">
        <v>58708795</v>
      </c>
      <c r="J10" s="135">
        <f t="shared" si="1"/>
        <v>20.922733957879011</v>
      </c>
    </row>
    <row r="11" spans="2:13" ht="14.25" customHeight="1" x14ac:dyDescent="0.3">
      <c r="B11" s="317" t="s">
        <v>358</v>
      </c>
      <c r="C11" s="289">
        <v>33826575</v>
      </c>
      <c r="D11" s="134">
        <f t="shared" si="0"/>
        <v>12.055168726103835</v>
      </c>
      <c r="F11" s="363" t="s">
        <v>358</v>
      </c>
      <c r="G11" s="363"/>
      <c r="H11" s="363"/>
      <c r="I11" s="292">
        <v>24665213</v>
      </c>
      <c r="J11" s="135">
        <f t="shared" si="1"/>
        <v>8.7902279311544174</v>
      </c>
    </row>
    <row r="12" spans="2:13" ht="14.25" customHeight="1" x14ac:dyDescent="0.3">
      <c r="B12" s="316" t="s">
        <v>359</v>
      </c>
      <c r="C12" s="290">
        <v>1355728</v>
      </c>
      <c r="D12" s="134">
        <f t="shared" si="0"/>
        <v>0.48315650599279708</v>
      </c>
      <c r="F12" s="363" t="s">
        <v>359</v>
      </c>
      <c r="G12" s="363"/>
      <c r="H12" s="363"/>
      <c r="I12" s="292">
        <v>32960396</v>
      </c>
      <c r="J12" s="135">
        <f t="shared" si="1"/>
        <v>11.746478473188549</v>
      </c>
    </row>
    <row r="13" spans="2:13" ht="14.25" customHeight="1" x14ac:dyDescent="0.25">
      <c r="B13" s="320" t="s">
        <v>301</v>
      </c>
      <c r="C13" s="322">
        <v>28284538</v>
      </c>
      <c r="D13" s="134">
        <f t="shared" si="0"/>
        <v>10.08008874471907</v>
      </c>
      <c r="F13" s="363" t="s">
        <v>301</v>
      </c>
      <c r="G13" s="363"/>
      <c r="H13" s="363"/>
      <c r="I13" s="292">
        <v>22221538</v>
      </c>
      <c r="J13" s="135">
        <f t="shared" si="1"/>
        <v>7.9193471388554109</v>
      </c>
    </row>
    <row r="14" spans="2:13" ht="19.5" customHeight="1" x14ac:dyDescent="0.25">
      <c r="B14" s="342" t="s">
        <v>360</v>
      </c>
      <c r="C14" s="290">
        <v>5983147</v>
      </c>
      <c r="D14" s="134">
        <f t="shared" si="0"/>
        <v>2.1322834664189911</v>
      </c>
      <c r="F14" s="363" t="s">
        <v>360</v>
      </c>
      <c r="G14" s="363"/>
      <c r="H14" s="363"/>
      <c r="I14" s="292">
        <v>19781177</v>
      </c>
      <c r="J14" s="135">
        <f t="shared" si="1"/>
        <v>7.049647395159707</v>
      </c>
    </row>
    <row r="15" spans="2:13" ht="14.25" customHeight="1" x14ac:dyDescent="0.3">
      <c r="B15" s="317" t="s">
        <v>369</v>
      </c>
      <c r="C15" s="289">
        <v>36208092</v>
      </c>
      <c r="D15" s="134">
        <f t="shared" si="0"/>
        <v>12.903897551268209</v>
      </c>
      <c r="F15" s="364" t="s">
        <v>369</v>
      </c>
      <c r="G15" s="363"/>
      <c r="H15" s="363"/>
      <c r="I15" s="292">
        <v>16807350</v>
      </c>
      <c r="J15" s="135">
        <f t="shared" si="1"/>
        <v>5.9898301879123528</v>
      </c>
    </row>
    <row r="16" spans="2:13" ht="14.25" customHeight="1" x14ac:dyDescent="0.3">
      <c r="B16" s="316" t="s">
        <v>362</v>
      </c>
      <c r="C16" s="289">
        <v>54863253</v>
      </c>
      <c r="D16" s="134">
        <f t="shared" si="0"/>
        <v>19.552253569210666</v>
      </c>
      <c r="F16" s="363" t="s">
        <v>362</v>
      </c>
      <c r="G16" s="363"/>
      <c r="H16" s="363"/>
      <c r="I16" s="292">
        <v>17820776</v>
      </c>
      <c r="J16" s="135">
        <f t="shared" si="1"/>
        <v>6.3509965614343686</v>
      </c>
    </row>
    <row r="17" spans="2:14" ht="14.25" customHeight="1" x14ac:dyDescent="0.3">
      <c r="B17" s="317" t="s">
        <v>363</v>
      </c>
      <c r="C17" s="289">
        <v>42890481</v>
      </c>
      <c r="D17" s="134">
        <f t="shared" si="0"/>
        <v>15.285377996405213</v>
      </c>
      <c r="F17" s="363" t="s">
        <v>363</v>
      </c>
      <c r="G17" s="363"/>
      <c r="H17" s="363"/>
      <c r="I17" s="292">
        <v>14794623</v>
      </c>
      <c r="J17" s="135">
        <f t="shared" ref="J17:J18" si="2">I17/$I$19*100</f>
        <v>5.2725313308869284</v>
      </c>
    </row>
    <row r="18" spans="2:14" ht="14.25" customHeight="1" x14ac:dyDescent="0.25">
      <c r="B18" s="331" t="s">
        <v>367</v>
      </c>
      <c r="C18" s="136">
        <v>22918590</v>
      </c>
      <c r="D18" s="134">
        <f t="shared" si="0"/>
        <v>8.1677636418820434</v>
      </c>
      <c r="F18" s="364" t="s">
        <v>367</v>
      </c>
      <c r="G18" s="363"/>
      <c r="H18" s="363"/>
      <c r="I18" s="292">
        <v>5233340</v>
      </c>
      <c r="J18" s="135">
        <f t="shared" si="2"/>
        <v>1.865066052388344</v>
      </c>
    </row>
    <row r="19" spans="2:14" ht="14.25" customHeight="1" x14ac:dyDescent="0.3">
      <c r="B19" s="321" t="s">
        <v>84</v>
      </c>
      <c r="C19" s="323">
        <v>12657151</v>
      </c>
      <c r="D19" s="134">
        <f>C19/$C$20*100</f>
        <v>4.510775651888312</v>
      </c>
      <c r="F19" s="366" t="s">
        <v>2</v>
      </c>
      <c r="G19" s="366"/>
      <c r="H19" s="366"/>
      <c r="I19" s="229">
        <f>SUM(I9:I18)</f>
        <v>280598105</v>
      </c>
      <c r="J19" s="291">
        <f>SUM(J9:J18)</f>
        <v>100.00000000000001</v>
      </c>
    </row>
    <row r="20" spans="2:14" ht="17.25" customHeight="1" x14ac:dyDescent="0.25">
      <c r="B20" s="318" t="s">
        <v>2</v>
      </c>
      <c r="C20" s="319">
        <f>SUM(C9:C19)</f>
        <v>280598105</v>
      </c>
      <c r="D20" s="315">
        <f>SUM(D9:D19)</f>
        <v>100</v>
      </c>
      <c r="E20" s="137"/>
      <c r="F20" s="138"/>
      <c r="G20" s="139"/>
      <c r="H20" s="140"/>
      <c r="I20" s="139"/>
      <c r="J20" s="137"/>
    </row>
    <row r="21" spans="2:14" ht="17.25" customHeight="1" x14ac:dyDescent="0.25">
      <c r="E21" s="137"/>
      <c r="F21" s="138"/>
      <c r="G21" s="139"/>
      <c r="H21" s="140"/>
      <c r="I21" s="139"/>
      <c r="J21" s="137"/>
    </row>
    <row r="22" spans="2:14" ht="14.25" customHeight="1" x14ac:dyDescent="0.25">
      <c r="B22" s="141"/>
      <c r="C22" s="142"/>
      <c r="D22" s="143"/>
      <c r="I22" s="137"/>
      <c r="J22" s="137"/>
    </row>
    <row r="23" spans="2:14" ht="18" x14ac:dyDescent="0.25">
      <c r="B23" s="362" t="s">
        <v>331</v>
      </c>
      <c r="C23" s="362"/>
      <c r="D23" s="362"/>
      <c r="E23" s="362"/>
      <c r="F23" s="362"/>
      <c r="G23" s="362"/>
      <c r="H23" s="362"/>
      <c r="I23" s="362"/>
      <c r="J23" s="362"/>
      <c r="K23" s="362"/>
      <c r="L23" s="314"/>
      <c r="M23" s="314"/>
    </row>
    <row r="24" spans="2:14" ht="22.5" customHeight="1" x14ac:dyDescent="0.25">
      <c r="B24" s="357" t="s">
        <v>372</v>
      </c>
      <c r="C24" s="365" t="s">
        <v>373</v>
      </c>
      <c r="D24" s="365"/>
      <c r="E24" s="365"/>
      <c r="F24" s="365"/>
      <c r="G24" s="365"/>
      <c r="H24" s="365"/>
      <c r="I24" s="365"/>
      <c r="J24" s="365"/>
      <c r="K24" s="365"/>
      <c r="L24" s="365"/>
      <c r="M24" s="365"/>
    </row>
    <row r="25" spans="2:14" ht="46.5" customHeight="1" x14ac:dyDescent="0.25">
      <c r="B25" s="365"/>
      <c r="C25" s="326" t="s">
        <v>301</v>
      </c>
      <c r="D25" s="326" t="s">
        <v>357</v>
      </c>
      <c r="E25" s="326" t="s">
        <v>363</v>
      </c>
      <c r="F25" s="326" t="s">
        <v>360</v>
      </c>
      <c r="G25" s="326" t="s">
        <v>365</v>
      </c>
      <c r="H25" s="326" t="s">
        <v>356</v>
      </c>
      <c r="I25" s="326" t="s">
        <v>358</v>
      </c>
      <c r="J25" s="326" t="s">
        <v>359</v>
      </c>
      <c r="K25" s="326" t="s">
        <v>361</v>
      </c>
      <c r="L25" s="325" t="s">
        <v>362</v>
      </c>
      <c r="M25" s="325" t="s">
        <v>2</v>
      </c>
    </row>
    <row r="26" spans="2:14" ht="14.25" customHeight="1" x14ac:dyDescent="0.3">
      <c r="B26" s="324" t="s">
        <v>301</v>
      </c>
      <c r="C26" s="334">
        <v>17808594</v>
      </c>
      <c r="D26" s="334">
        <v>2466926</v>
      </c>
      <c r="E26" s="333">
        <v>39576</v>
      </c>
      <c r="F26" s="333">
        <v>514365</v>
      </c>
      <c r="G26" s="333">
        <v>2202</v>
      </c>
      <c r="H26" s="333">
        <v>5122021</v>
      </c>
      <c r="I26" s="333">
        <v>8020</v>
      </c>
      <c r="J26" s="334">
        <v>384224</v>
      </c>
      <c r="K26" s="133">
        <v>1879288</v>
      </c>
      <c r="L26" s="333">
        <v>59322</v>
      </c>
      <c r="M26" s="133">
        <f>SUM(C26:L26)</f>
        <v>28284538</v>
      </c>
      <c r="N26" s="144"/>
    </row>
    <row r="27" spans="2:14" ht="14.25" customHeight="1" x14ac:dyDescent="0.3">
      <c r="B27" s="324" t="s">
        <v>357</v>
      </c>
      <c r="C27" s="334">
        <v>29574</v>
      </c>
      <c r="D27" s="334">
        <v>1088520</v>
      </c>
      <c r="E27" s="333">
        <v>1293053</v>
      </c>
      <c r="F27" s="333">
        <v>455910</v>
      </c>
      <c r="G27" s="333">
        <v>89362</v>
      </c>
      <c r="H27" s="333">
        <v>1082548</v>
      </c>
      <c r="I27" s="333">
        <v>18076</v>
      </c>
      <c r="J27" s="334">
        <v>116090</v>
      </c>
      <c r="K27" s="334">
        <v>56449</v>
      </c>
      <c r="L27" s="333">
        <v>98376</v>
      </c>
      <c r="M27" s="133">
        <f>SUM(C27:L27)</f>
        <v>4327958</v>
      </c>
      <c r="N27" s="144"/>
    </row>
    <row r="28" spans="2:14" ht="14.25" customHeight="1" x14ac:dyDescent="0.3">
      <c r="B28" s="324" t="s">
        <v>363</v>
      </c>
      <c r="C28" s="334">
        <v>30679</v>
      </c>
      <c r="D28" s="334">
        <v>25535633</v>
      </c>
      <c r="E28" s="333">
        <v>11297173</v>
      </c>
      <c r="F28" s="333">
        <v>474815</v>
      </c>
      <c r="G28" s="333">
        <v>73192</v>
      </c>
      <c r="H28" s="333">
        <v>5389739</v>
      </c>
      <c r="I28" s="333">
        <v>6205</v>
      </c>
      <c r="J28" s="334">
        <v>64874</v>
      </c>
      <c r="K28" s="334">
        <v>3507</v>
      </c>
      <c r="L28" s="333">
        <v>14664</v>
      </c>
      <c r="M28" s="133">
        <f t="shared" ref="M28:M36" si="3">SUM(C28:L28)</f>
        <v>42890481</v>
      </c>
      <c r="N28" s="144"/>
    </row>
    <row r="29" spans="2:14" ht="14.25" customHeight="1" x14ac:dyDescent="0.3">
      <c r="B29" s="328" t="s">
        <v>368</v>
      </c>
      <c r="C29" s="334">
        <v>21830</v>
      </c>
      <c r="D29" s="334">
        <v>2239049</v>
      </c>
      <c r="E29" s="333">
        <v>128504</v>
      </c>
      <c r="F29" s="333">
        <v>1890365</v>
      </c>
      <c r="G29" s="333">
        <v>466021</v>
      </c>
      <c r="H29" s="333">
        <v>892764</v>
      </c>
      <c r="I29" s="333">
        <v>41265</v>
      </c>
      <c r="J29" s="334">
        <v>6341</v>
      </c>
      <c r="K29" s="334">
        <v>14374</v>
      </c>
      <c r="L29" s="333">
        <v>282634</v>
      </c>
      <c r="M29" s="133">
        <f t="shared" si="3"/>
        <v>5983147</v>
      </c>
      <c r="N29" s="144"/>
    </row>
    <row r="30" spans="2:14" ht="14.25" customHeight="1" x14ac:dyDescent="0.3">
      <c r="B30" s="328" t="s">
        <v>367</v>
      </c>
      <c r="C30" s="334">
        <v>39536</v>
      </c>
      <c r="D30" s="334">
        <v>7777420</v>
      </c>
      <c r="E30" s="333">
        <v>174277</v>
      </c>
      <c r="F30" s="333">
        <v>8109926</v>
      </c>
      <c r="G30" s="333">
        <v>1368765</v>
      </c>
      <c r="H30" s="333">
        <v>2673350</v>
      </c>
      <c r="I30" s="333">
        <v>196434</v>
      </c>
      <c r="J30" s="334">
        <v>1712438</v>
      </c>
      <c r="K30" s="334">
        <v>47356</v>
      </c>
      <c r="L30" s="333">
        <v>819088</v>
      </c>
      <c r="M30" s="133">
        <f t="shared" si="3"/>
        <v>22918590</v>
      </c>
      <c r="N30" s="144"/>
    </row>
    <row r="31" spans="2:14" x14ac:dyDescent="0.3">
      <c r="B31" s="324" t="s">
        <v>356</v>
      </c>
      <c r="C31" s="334">
        <v>472092</v>
      </c>
      <c r="D31" s="334">
        <v>5347877</v>
      </c>
      <c r="E31" s="333">
        <v>1328642</v>
      </c>
      <c r="F31" s="333">
        <v>2879450</v>
      </c>
      <c r="G31" s="333">
        <v>43568</v>
      </c>
      <c r="H31" s="333">
        <v>24772227</v>
      </c>
      <c r="I31" s="333">
        <v>1062582</v>
      </c>
      <c r="J31" s="334">
        <v>467866</v>
      </c>
      <c r="K31" s="334">
        <v>785296</v>
      </c>
      <c r="L31" s="333">
        <v>122992</v>
      </c>
      <c r="M31" s="133">
        <f t="shared" si="3"/>
        <v>37282592</v>
      </c>
      <c r="N31" s="144"/>
    </row>
    <row r="32" spans="2:14" ht="14.25" customHeight="1" x14ac:dyDescent="0.3">
      <c r="B32" s="324" t="s">
        <v>358</v>
      </c>
      <c r="C32" s="334">
        <v>27959</v>
      </c>
      <c r="D32" s="334">
        <v>1666486</v>
      </c>
      <c r="E32" s="333">
        <v>27394</v>
      </c>
      <c r="F32" s="333">
        <v>280244</v>
      </c>
      <c r="G32" s="333">
        <v>6165</v>
      </c>
      <c r="H32" s="333">
        <v>10131869</v>
      </c>
      <c r="I32" s="333">
        <v>20231167</v>
      </c>
      <c r="J32" s="334">
        <v>359923</v>
      </c>
      <c r="K32" s="334">
        <v>1086942</v>
      </c>
      <c r="L32" s="333">
        <v>8426</v>
      </c>
      <c r="M32" s="133">
        <f t="shared" si="3"/>
        <v>33826575</v>
      </c>
      <c r="N32" s="144"/>
    </row>
    <row r="33" spans="2:14" ht="17.25" customHeight="1" x14ac:dyDescent="0.3">
      <c r="B33" s="324" t="s">
        <v>359</v>
      </c>
      <c r="C33" s="334">
        <v>21592</v>
      </c>
      <c r="D33" s="334">
        <v>389183</v>
      </c>
      <c r="E33" s="333">
        <v>12010</v>
      </c>
      <c r="F33" s="333">
        <v>75679</v>
      </c>
      <c r="G33" s="333">
        <v>2746</v>
      </c>
      <c r="H33" s="333">
        <v>306466</v>
      </c>
      <c r="I33" s="333">
        <v>13211</v>
      </c>
      <c r="J33" s="334">
        <v>168504</v>
      </c>
      <c r="K33" s="334">
        <v>263516</v>
      </c>
      <c r="L33" s="333">
        <v>102821</v>
      </c>
      <c r="M33" s="133">
        <f t="shared" si="3"/>
        <v>1355728</v>
      </c>
      <c r="N33" s="144"/>
    </row>
    <row r="34" spans="2:14" ht="17.25" customHeight="1" x14ac:dyDescent="0.25">
      <c r="B34" s="329" t="s">
        <v>366</v>
      </c>
      <c r="C34" s="334">
        <v>1217568</v>
      </c>
      <c r="D34" s="334">
        <v>2032200</v>
      </c>
      <c r="E34" s="333">
        <v>68467</v>
      </c>
      <c r="F34" s="333">
        <v>368236</v>
      </c>
      <c r="G34" s="333">
        <v>3259</v>
      </c>
      <c r="H34" s="333">
        <v>11483753</v>
      </c>
      <c r="I34" s="333">
        <v>2239500</v>
      </c>
      <c r="J34" s="333">
        <v>6814605</v>
      </c>
      <c r="K34" s="334">
        <v>11898812</v>
      </c>
      <c r="L34" s="333">
        <v>81692</v>
      </c>
      <c r="M34" s="133">
        <f t="shared" si="3"/>
        <v>36208092</v>
      </c>
      <c r="N34" s="144"/>
    </row>
    <row r="35" spans="2:14" x14ac:dyDescent="0.25">
      <c r="B35" s="332" t="s">
        <v>362</v>
      </c>
      <c r="C35" s="334">
        <v>129652</v>
      </c>
      <c r="D35" s="334">
        <v>6112348</v>
      </c>
      <c r="E35" s="333">
        <v>33806</v>
      </c>
      <c r="F35" s="333">
        <v>3855982</v>
      </c>
      <c r="G35" s="333">
        <v>2964676</v>
      </c>
      <c r="H35" s="333">
        <v>4855407</v>
      </c>
      <c r="I35" s="333">
        <v>47866</v>
      </c>
      <c r="J35" s="333">
        <v>21262475</v>
      </c>
      <c r="K35" s="334">
        <v>340345</v>
      </c>
      <c r="L35" s="333">
        <v>15260696</v>
      </c>
      <c r="M35" s="133">
        <f t="shared" si="3"/>
        <v>54863253</v>
      </c>
      <c r="N35" s="144"/>
    </row>
    <row r="36" spans="2:14" ht="17.25" customHeight="1" x14ac:dyDescent="0.25">
      <c r="B36" s="131" t="s">
        <v>364</v>
      </c>
      <c r="C36" s="334">
        <v>2422462</v>
      </c>
      <c r="D36" s="334">
        <v>4053153</v>
      </c>
      <c r="E36" s="333">
        <v>391721</v>
      </c>
      <c r="F36" s="333">
        <v>876205</v>
      </c>
      <c r="G36" s="333">
        <v>213384</v>
      </c>
      <c r="H36" s="333">
        <v>894753</v>
      </c>
      <c r="I36" s="333">
        <v>800887</v>
      </c>
      <c r="J36" s="334">
        <v>1603056</v>
      </c>
      <c r="K36" s="334">
        <v>431465</v>
      </c>
      <c r="L36" s="333">
        <v>970065</v>
      </c>
      <c r="M36" s="133">
        <f t="shared" si="3"/>
        <v>12657151</v>
      </c>
      <c r="N36" s="144"/>
    </row>
    <row r="37" spans="2:14" s="137" customFormat="1" ht="17.25" customHeight="1" x14ac:dyDescent="0.25">
      <c r="B37" s="327" t="s">
        <v>2</v>
      </c>
      <c r="C37" s="338">
        <f>SUM(C26:C36)</f>
        <v>22221538</v>
      </c>
      <c r="D37" s="338">
        <f t="shared" ref="D37:L37" si="4">SUM(D26:D36)</f>
        <v>58708795</v>
      </c>
      <c r="E37" s="338">
        <f t="shared" si="4"/>
        <v>14794623</v>
      </c>
      <c r="F37" s="338">
        <f t="shared" si="4"/>
        <v>19781177</v>
      </c>
      <c r="G37" s="338">
        <f t="shared" si="4"/>
        <v>5233340</v>
      </c>
      <c r="H37" s="338">
        <f t="shared" si="4"/>
        <v>67604897</v>
      </c>
      <c r="I37" s="338">
        <f t="shared" si="4"/>
        <v>24665213</v>
      </c>
      <c r="J37" s="338">
        <f t="shared" si="4"/>
        <v>32960396</v>
      </c>
      <c r="K37" s="338">
        <f t="shared" si="4"/>
        <v>16807350</v>
      </c>
      <c r="L37" s="338">
        <f t="shared" si="4"/>
        <v>17820776</v>
      </c>
      <c r="M37" s="338">
        <f>SUM(M26:M36)</f>
        <v>280598105</v>
      </c>
    </row>
    <row r="38" spans="2:14" s="137" customFormat="1" ht="11.25" customHeight="1" x14ac:dyDescent="0.25">
      <c r="B38" s="335"/>
      <c r="C38" s="336"/>
      <c r="D38" s="337"/>
      <c r="E38" s="330"/>
      <c r="F38" s="330"/>
      <c r="G38" s="330"/>
      <c r="H38" s="330"/>
      <c r="I38" s="330"/>
      <c r="J38" s="330"/>
      <c r="K38" s="330"/>
      <c r="L38" s="330"/>
      <c r="M38" s="330"/>
    </row>
    <row r="39" spans="2:14" s="137" customFormat="1" ht="13.5" x14ac:dyDescent="0.25">
      <c r="B39" s="340" t="s">
        <v>376</v>
      </c>
      <c r="C39" s="145"/>
      <c r="D39" s="146"/>
      <c r="E39" s="330"/>
      <c r="F39" s="330"/>
      <c r="G39" s="330"/>
      <c r="H39" s="330"/>
      <c r="I39" s="330"/>
      <c r="J39" s="330"/>
      <c r="K39" s="330"/>
      <c r="L39" s="330"/>
      <c r="M39" s="330"/>
    </row>
    <row r="40" spans="2:14" s="137" customFormat="1" ht="32.25" customHeight="1" x14ac:dyDescent="0.25">
      <c r="B40" s="367" t="s">
        <v>381</v>
      </c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</row>
    <row r="41" spans="2:14" ht="15" customHeight="1" x14ac:dyDescent="0.25">
      <c r="B41" s="308" t="s">
        <v>316</v>
      </c>
      <c r="C41" s="308"/>
      <c r="D41" s="309"/>
      <c r="E41" s="308"/>
      <c r="F41" s="310"/>
      <c r="G41" s="310"/>
      <c r="H41" s="310"/>
      <c r="I41" s="310"/>
      <c r="J41" s="310"/>
      <c r="K41" s="310"/>
      <c r="L41" s="310"/>
      <c r="M41" s="310"/>
    </row>
    <row r="42" spans="2:14" ht="15" customHeight="1" x14ac:dyDescent="0.25">
      <c r="B42" s="355" t="s">
        <v>377</v>
      </c>
      <c r="C42" s="355"/>
      <c r="D42" s="355"/>
      <c r="E42" s="355"/>
      <c r="F42" s="355"/>
      <c r="G42" s="355"/>
      <c r="H42" s="311"/>
      <c r="I42" s="311"/>
      <c r="J42" s="311"/>
      <c r="K42" s="310"/>
      <c r="L42" s="310"/>
      <c r="M42" s="310"/>
    </row>
    <row r="43" spans="2:14" ht="15" customHeight="1" x14ac:dyDescent="0.25">
      <c r="B43" s="311" t="s">
        <v>316</v>
      </c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228"/>
    </row>
    <row r="44" spans="2:14" ht="13.5" customHeight="1" x14ac:dyDescent="0.25">
      <c r="B44" s="339" t="s">
        <v>336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12"/>
      <c r="M44" s="312"/>
      <c r="N44" s="82"/>
    </row>
    <row r="45" spans="2:14" ht="13.5" x14ac:dyDescent="0.25"/>
    <row r="46" spans="2:14" ht="13.5" hidden="1" x14ac:dyDescent="0.25"/>
    <row r="47" spans="2:14" ht="13.5" hidden="1" x14ac:dyDescent="0.25"/>
    <row r="48" spans="2:14" ht="13.5" hidden="1" x14ac:dyDescent="0.25">
      <c r="B48" s="147"/>
    </row>
  </sheetData>
  <mergeCells count="18">
    <mergeCell ref="B40:M40"/>
    <mergeCell ref="B24:B25"/>
    <mergeCell ref="B42:G42"/>
    <mergeCell ref="B6:K6"/>
    <mergeCell ref="B23:K23"/>
    <mergeCell ref="F14:H14"/>
    <mergeCell ref="F15:H15"/>
    <mergeCell ref="F16:H16"/>
    <mergeCell ref="F18:H18"/>
    <mergeCell ref="F8:H8"/>
    <mergeCell ref="F9:H9"/>
    <mergeCell ref="F10:H10"/>
    <mergeCell ref="F11:H11"/>
    <mergeCell ref="F12:H12"/>
    <mergeCell ref="F13:H13"/>
    <mergeCell ref="C24:M24"/>
    <mergeCell ref="F17:H17"/>
    <mergeCell ref="F19:H19"/>
  </mergeCells>
  <hyperlinks>
    <hyperlink ref="K8" location="Indice!A1" display="Volver"/>
  </hyperlinks>
  <pageMargins left="0.7" right="0.7" top="0.75" bottom="0.75" header="0.3" footer="0.3"/>
  <pageSetup paperSize="11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Normal="100" workbookViewId="0">
      <pane xSplit="1" ySplit="8" topLeftCell="B39" activePane="bottomRight" state="frozen"/>
      <selection activeCell="C7" sqref="C7:N7"/>
      <selection pane="topRight" activeCell="C7" sqref="C7:N7"/>
      <selection pane="bottomLeft" activeCell="C7" sqref="C7:N7"/>
      <selection pane="bottomRight" activeCell="C7" sqref="C7:N7"/>
    </sheetView>
  </sheetViews>
  <sheetFormatPr baseColWidth="10" defaultColWidth="0" defaultRowHeight="12.75" zeroHeight="1" x14ac:dyDescent="0.25"/>
  <cols>
    <col min="1" max="1" width="2.85546875" style="18" customWidth="1"/>
    <col min="2" max="2" width="9.85546875" style="18" bestFit="1" customWidth="1"/>
    <col min="3" max="3" width="32.42578125" style="18" customWidth="1"/>
    <col min="4" max="4" width="32.28515625" style="18" customWidth="1"/>
    <col min="5" max="5" width="33.140625" style="104" customWidth="1"/>
    <col min="6" max="6" width="37" style="18" customWidth="1"/>
    <col min="7" max="7" width="33" style="129" customWidth="1"/>
    <col min="8" max="8" width="14.28515625" style="18" customWidth="1"/>
    <col min="9" max="9" width="17.42578125" style="18" hidden="1" customWidth="1"/>
    <col min="10" max="10" width="17.7109375" style="18" hidden="1" customWidth="1"/>
    <col min="11" max="11" width="0" style="18" hidden="1" customWidth="1"/>
    <col min="12" max="16384" width="11.42578125" style="18" hidden="1"/>
  </cols>
  <sheetData>
    <row r="1" spans="2:11" s="1" customFormat="1" ht="15" customHeight="1" x14ac:dyDescent="0.35">
      <c r="B1" s="85"/>
      <c r="C1" s="30"/>
      <c r="D1" s="65"/>
      <c r="E1" s="65"/>
      <c r="F1" s="65"/>
      <c r="G1" s="123"/>
    </row>
    <row r="2" spans="2:11" s="1" customFormat="1" ht="15" customHeight="1" x14ac:dyDescent="0.35">
      <c r="B2" s="85"/>
      <c r="C2" s="30"/>
      <c r="D2" s="65"/>
      <c r="E2" s="65"/>
      <c r="F2" s="65"/>
      <c r="G2" s="123"/>
    </row>
    <row r="3" spans="2:11" s="1" customFormat="1" ht="19.5" customHeight="1" x14ac:dyDescent="0.35">
      <c r="B3" s="85"/>
      <c r="C3" s="30"/>
      <c r="D3" s="65"/>
      <c r="E3" s="65"/>
      <c r="F3" s="65"/>
      <c r="G3" s="177"/>
    </row>
    <row r="4" spans="2:11" s="1" customFormat="1" ht="19.5" customHeight="1" x14ac:dyDescent="0.35">
      <c r="B4" s="85"/>
      <c r="C4" s="30"/>
      <c r="D4" s="65"/>
      <c r="E4" s="65"/>
      <c r="F4" s="65"/>
      <c r="G4" s="177"/>
    </row>
    <row r="5" spans="2:11" s="1" customFormat="1" ht="22.5" customHeight="1" x14ac:dyDescent="0.35">
      <c r="B5" s="370" t="s">
        <v>314</v>
      </c>
      <c r="C5" s="370"/>
      <c r="D5" s="370"/>
      <c r="E5" s="370"/>
      <c r="F5" s="370"/>
      <c r="G5" s="370"/>
      <c r="H5" s="178"/>
    </row>
    <row r="6" spans="2:11" s="1" customFormat="1" ht="13.5" customHeight="1" x14ac:dyDescent="0.35">
      <c r="B6" s="85"/>
      <c r="C6" s="30"/>
      <c r="D6" s="62"/>
      <c r="E6" s="62"/>
      <c r="F6" s="62"/>
      <c r="G6" s="123"/>
    </row>
    <row r="7" spans="2:11" s="31" customFormat="1" ht="18.75" x14ac:dyDescent="0.35">
      <c r="B7" s="187" t="s">
        <v>288</v>
      </c>
      <c r="C7" s="187" t="s">
        <v>289</v>
      </c>
      <c r="D7" s="230" t="s">
        <v>290</v>
      </c>
      <c r="E7" s="231" t="s">
        <v>291</v>
      </c>
      <c r="F7" s="216" t="s">
        <v>292</v>
      </c>
      <c r="G7" s="232" t="s">
        <v>297</v>
      </c>
      <c r="H7" s="215" t="s">
        <v>315</v>
      </c>
    </row>
    <row r="8" spans="2:11" s="31" customFormat="1" ht="18.75" x14ac:dyDescent="0.35">
      <c r="B8" s="369" t="s">
        <v>2</v>
      </c>
      <c r="C8" s="369"/>
      <c r="D8" s="369"/>
      <c r="E8" s="233">
        <f>SUM(E9:E55)</f>
        <v>280598.10499999998</v>
      </c>
      <c r="F8" s="234">
        <f>SUM(F9:F55)</f>
        <v>100</v>
      </c>
      <c r="G8" s="235" t="s">
        <v>283</v>
      </c>
    </row>
    <row r="9" spans="2:11" s="32" customFormat="1" ht="18.75" x14ac:dyDescent="0.35">
      <c r="B9" s="96">
        <v>1</v>
      </c>
      <c r="C9" s="99" t="s">
        <v>33</v>
      </c>
      <c r="D9" s="99" t="s">
        <v>51</v>
      </c>
      <c r="E9" s="100">
        <v>10853.105</v>
      </c>
      <c r="F9" s="58">
        <f>(E9/$E$8)*100</f>
        <v>3.8678468623300217</v>
      </c>
      <c r="G9" s="124" t="s">
        <v>294</v>
      </c>
    </row>
    <row r="10" spans="2:11" s="32" customFormat="1" ht="18.75" x14ac:dyDescent="0.35">
      <c r="B10" s="96">
        <v>2</v>
      </c>
      <c r="C10" s="36" t="s">
        <v>273</v>
      </c>
      <c r="D10" s="36" t="s">
        <v>333</v>
      </c>
      <c r="E10" s="55">
        <v>3792.5050000000001</v>
      </c>
      <c r="F10" s="56">
        <f t="shared" ref="F10:F55" si="0">(E10/$E$8)*100</f>
        <v>1.351578978054752</v>
      </c>
      <c r="G10" s="125" t="s">
        <v>295</v>
      </c>
    </row>
    <row r="11" spans="2:11" s="32" customFormat="1" ht="18.75" x14ac:dyDescent="0.35">
      <c r="B11" s="96">
        <v>3</v>
      </c>
      <c r="C11" s="20" t="s">
        <v>26</v>
      </c>
      <c r="D11" s="20" t="s">
        <v>35</v>
      </c>
      <c r="E11" s="55">
        <v>3471.3</v>
      </c>
      <c r="F11" s="56">
        <f t="shared" si="0"/>
        <v>1.237107428077606</v>
      </c>
      <c r="G11" s="125" t="s">
        <v>294</v>
      </c>
    </row>
    <row r="12" spans="2:11" s="32" customFormat="1" ht="18.75" x14ac:dyDescent="0.35">
      <c r="B12" s="96">
        <v>4</v>
      </c>
      <c r="C12" s="20" t="s">
        <v>20</v>
      </c>
      <c r="D12" s="20" t="s">
        <v>27</v>
      </c>
      <c r="E12" s="55">
        <v>3330.5859999999998</v>
      </c>
      <c r="F12" s="56">
        <f t="shared" si="0"/>
        <v>1.1869595484260309</v>
      </c>
      <c r="G12" s="125" t="s">
        <v>295</v>
      </c>
      <c r="J12" s="33"/>
      <c r="K12" s="34"/>
    </row>
    <row r="13" spans="2:11" s="32" customFormat="1" ht="18.75" x14ac:dyDescent="0.35">
      <c r="B13" s="96">
        <v>5</v>
      </c>
      <c r="C13" s="20" t="s">
        <v>27</v>
      </c>
      <c r="D13" s="20" t="s">
        <v>20</v>
      </c>
      <c r="E13" s="55">
        <v>3268.2629999999999</v>
      </c>
      <c r="F13" s="56">
        <f t="shared" si="0"/>
        <v>1.1647487783283497</v>
      </c>
      <c r="G13" s="125" t="s">
        <v>295</v>
      </c>
      <c r="J13" s="33"/>
      <c r="K13" s="34"/>
    </row>
    <row r="14" spans="2:11" s="32" customFormat="1" ht="18.75" x14ac:dyDescent="0.35">
      <c r="B14" s="96">
        <v>6</v>
      </c>
      <c r="C14" s="20" t="s">
        <v>26</v>
      </c>
      <c r="D14" s="20" t="s">
        <v>51</v>
      </c>
      <c r="E14" s="55">
        <v>2723.7640000000001</v>
      </c>
      <c r="F14" s="56">
        <f t="shared" si="0"/>
        <v>0.97069935664747287</v>
      </c>
      <c r="G14" s="125" t="s">
        <v>294</v>
      </c>
      <c r="J14" s="33"/>
      <c r="K14" s="34"/>
    </row>
    <row r="15" spans="2:11" s="32" customFormat="1" ht="18.75" x14ac:dyDescent="0.35">
      <c r="B15" s="96">
        <v>7</v>
      </c>
      <c r="C15" s="20" t="s">
        <v>32</v>
      </c>
      <c r="D15" s="20" t="s">
        <v>282</v>
      </c>
      <c r="E15" s="55">
        <v>2710.6010000000001</v>
      </c>
      <c r="F15" s="56">
        <f t="shared" si="0"/>
        <v>0.96600830572252083</v>
      </c>
      <c r="G15" s="125" t="s">
        <v>295</v>
      </c>
      <c r="J15" s="33"/>
      <c r="K15" s="34"/>
    </row>
    <row r="16" spans="2:11" s="32" customFormat="1" ht="18.75" x14ac:dyDescent="0.35">
      <c r="B16" s="96">
        <v>8</v>
      </c>
      <c r="C16" s="20" t="s">
        <v>44</v>
      </c>
      <c r="D16" s="20" t="s">
        <v>20</v>
      </c>
      <c r="E16" s="55">
        <v>2558.9070000000002</v>
      </c>
      <c r="F16" s="56">
        <f t="shared" si="0"/>
        <v>0.91194735616621525</v>
      </c>
      <c r="G16" s="125" t="s">
        <v>295</v>
      </c>
      <c r="J16" s="33"/>
      <c r="K16" s="34"/>
    </row>
    <row r="17" spans="2:11" s="32" customFormat="1" ht="18.75" x14ac:dyDescent="0.35">
      <c r="B17" s="96">
        <v>9</v>
      </c>
      <c r="C17" s="20" t="s">
        <v>26</v>
      </c>
      <c r="D17" s="20" t="s">
        <v>22</v>
      </c>
      <c r="E17" s="55">
        <v>2502.337</v>
      </c>
      <c r="F17" s="56">
        <f t="shared" si="0"/>
        <v>0.89178684938018382</v>
      </c>
      <c r="G17" s="125" t="s">
        <v>294</v>
      </c>
      <c r="J17" s="33"/>
      <c r="K17" s="34"/>
    </row>
    <row r="18" spans="2:11" s="32" customFormat="1" ht="18.75" x14ac:dyDescent="0.35">
      <c r="B18" s="96">
        <v>10</v>
      </c>
      <c r="C18" s="20" t="s">
        <v>34</v>
      </c>
      <c r="D18" s="20" t="s">
        <v>26</v>
      </c>
      <c r="E18" s="55">
        <v>2488.471</v>
      </c>
      <c r="F18" s="56">
        <f t="shared" si="0"/>
        <v>0.88684526219448279</v>
      </c>
      <c r="G18" s="125" t="s">
        <v>295</v>
      </c>
      <c r="J18" s="33"/>
      <c r="K18" s="34"/>
    </row>
    <row r="19" spans="2:11" s="32" customFormat="1" ht="18.75" x14ac:dyDescent="0.35">
      <c r="B19" s="96">
        <v>11</v>
      </c>
      <c r="C19" s="20" t="s">
        <v>20</v>
      </c>
      <c r="D19" s="20" t="s">
        <v>44</v>
      </c>
      <c r="E19" s="55">
        <v>2476.018</v>
      </c>
      <c r="F19" s="56">
        <f t="shared" si="0"/>
        <v>0.88240724220143973</v>
      </c>
      <c r="G19" s="125" t="s">
        <v>295</v>
      </c>
      <c r="J19" s="33"/>
      <c r="K19" s="34"/>
    </row>
    <row r="20" spans="2:11" s="32" customFormat="1" ht="18.75" x14ac:dyDescent="0.35">
      <c r="B20" s="96">
        <v>12</v>
      </c>
      <c r="C20" s="20" t="s">
        <v>43</v>
      </c>
      <c r="D20" s="20" t="s">
        <v>90</v>
      </c>
      <c r="E20" s="55">
        <v>2408.4470000000001</v>
      </c>
      <c r="F20" s="56">
        <f t="shared" si="0"/>
        <v>0.85832618149719875</v>
      </c>
      <c r="G20" s="125" t="s">
        <v>294</v>
      </c>
      <c r="J20" s="33"/>
      <c r="K20" s="34"/>
    </row>
    <row r="21" spans="2:11" s="32" customFormat="1" ht="18.75" x14ac:dyDescent="0.35">
      <c r="B21" s="96">
        <v>13</v>
      </c>
      <c r="C21" s="20" t="s">
        <v>299</v>
      </c>
      <c r="D21" s="20" t="s">
        <v>281</v>
      </c>
      <c r="E21" s="55">
        <v>2272.4110000000001</v>
      </c>
      <c r="F21" s="56">
        <f t="shared" si="0"/>
        <v>0.80984545494346816</v>
      </c>
      <c r="G21" s="125" t="s">
        <v>295</v>
      </c>
      <c r="J21" s="33"/>
      <c r="K21" s="34"/>
    </row>
    <row r="22" spans="2:11" s="32" customFormat="1" ht="18.75" x14ac:dyDescent="0.35">
      <c r="B22" s="96">
        <v>14</v>
      </c>
      <c r="C22" s="20" t="s">
        <v>43</v>
      </c>
      <c r="D22" s="20" t="s">
        <v>51</v>
      </c>
      <c r="E22" s="55">
        <v>2184.11</v>
      </c>
      <c r="F22" s="56">
        <f t="shared" si="0"/>
        <v>0.77837660379067786</v>
      </c>
      <c r="G22" s="125" t="s">
        <v>294</v>
      </c>
      <c r="J22" s="33"/>
      <c r="K22" s="34"/>
    </row>
    <row r="23" spans="2:11" s="32" customFormat="1" ht="18.75" x14ac:dyDescent="0.35">
      <c r="B23" s="96">
        <v>15</v>
      </c>
      <c r="C23" s="20" t="s">
        <v>38</v>
      </c>
      <c r="D23" s="20" t="s">
        <v>21</v>
      </c>
      <c r="E23" s="55">
        <v>2141.7220000000002</v>
      </c>
      <c r="F23" s="56">
        <f t="shared" si="0"/>
        <v>0.76327030077412683</v>
      </c>
      <c r="G23" s="125" t="s">
        <v>296</v>
      </c>
      <c r="J23" s="33"/>
      <c r="K23" s="34"/>
    </row>
    <row r="24" spans="2:11" s="32" customFormat="1" ht="18.75" x14ac:dyDescent="0.35">
      <c r="B24" s="96">
        <v>16</v>
      </c>
      <c r="C24" s="20" t="s">
        <v>36</v>
      </c>
      <c r="D24" s="20" t="s">
        <v>51</v>
      </c>
      <c r="E24" s="55">
        <v>2061.1779999999999</v>
      </c>
      <c r="F24" s="56">
        <f t="shared" si="0"/>
        <v>0.73456590164783897</v>
      </c>
      <c r="G24" s="125" t="s">
        <v>294</v>
      </c>
      <c r="J24" s="33"/>
      <c r="K24" s="34"/>
    </row>
    <row r="25" spans="2:11" s="32" customFormat="1" ht="18.75" x14ac:dyDescent="0.35">
      <c r="B25" s="96">
        <v>17</v>
      </c>
      <c r="C25" s="20" t="s">
        <v>57</v>
      </c>
      <c r="D25" s="20" t="s">
        <v>40</v>
      </c>
      <c r="E25" s="55">
        <v>1848.27</v>
      </c>
      <c r="F25" s="56">
        <f t="shared" si="0"/>
        <v>0.6586894091818617</v>
      </c>
      <c r="G25" s="125" t="s">
        <v>295</v>
      </c>
      <c r="J25" s="33"/>
      <c r="K25" s="34"/>
    </row>
    <row r="26" spans="2:11" s="32" customFormat="1" ht="18.75" x14ac:dyDescent="0.35">
      <c r="B26" s="96">
        <v>18</v>
      </c>
      <c r="C26" s="20" t="s">
        <v>37</v>
      </c>
      <c r="D26" s="20" t="s">
        <v>21</v>
      </c>
      <c r="E26" s="55">
        <v>1837.2819999999999</v>
      </c>
      <c r="F26" s="56">
        <f t="shared" si="0"/>
        <v>0.65477348822437698</v>
      </c>
      <c r="G26" s="125" t="s">
        <v>294</v>
      </c>
      <c r="J26" s="33"/>
      <c r="K26" s="34"/>
    </row>
    <row r="27" spans="2:11" s="32" customFormat="1" ht="18.75" x14ac:dyDescent="0.35">
      <c r="B27" s="96">
        <v>19</v>
      </c>
      <c r="C27" s="20" t="s">
        <v>58</v>
      </c>
      <c r="D27" s="20" t="s">
        <v>51</v>
      </c>
      <c r="E27" s="55">
        <v>1829.251</v>
      </c>
      <c r="F27" s="56">
        <f t="shared" si="0"/>
        <v>0.65191138764105339</v>
      </c>
      <c r="G27" s="125" t="s">
        <v>296</v>
      </c>
      <c r="J27" s="33"/>
      <c r="K27" s="34"/>
    </row>
    <row r="28" spans="2:11" s="32" customFormat="1" ht="18.75" x14ac:dyDescent="0.35">
      <c r="B28" s="96">
        <v>20</v>
      </c>
      <c r="C28" s="20" t="s">
        <v>271</v>
      </c>
      <c r="D28" s="20" t="s">
        <v>109</v>
      </c>
      <c r="E28" s="55">
        <v>1780.4860000000001</v>
      </c>
      <c r="F28" s="56">
        <f t="shared" si="0"/>
        <v>0.63453243919804814</v>
      </c>
      <c r="G28" s="125" t="s">
        <v>295</v>
      </c>
      <c r="J28" s="33"/>
      <c r="K28" s="34"/>
    </row>
    <row r="29" spans="2:11" s="1" customFormat="1" ht="18" x14ac:dyDescent="0.35">
      <c r="B29" s="96">
        <v>21</v>
      </c>
      <c r="C29" s="20" t="s">
        <v>42</v>
      </c>
      <c r="D29" s="20" t="s">
        <v>22</v>
      </c>
      <c r="E29" s="55">
        <v>1709.318</v>
      </c>
      <c r="F29" s="56">
        <f t="shared" si="0"/>
        <v>0.60916947389933374</v>
      </c>
      <c r="G29" s="125" t="s">
        <v>294</v>
      </c>
    </row>
    <row r="30" spans="2:11" s="1" customFormat="1" ht="18" x14ac:dyDescent="0.35">
      <c r="B30" s="96">
        <v>22</v>
      </c>
      <c r="C30" s="20" t="s">
        <v>153</v>
      </c>
      <c r="D30" s="20" t="s">
        <v>24</v>
      </c>
      <c r="E30" s="55">
        <v>1637.211</v>
      </c>
      <c r="F30" s="56">
        <f t="shared" si="0"/>
        <v>0.58347186628363013</v>
      </c>
      <c r="G30" s="125" t="s">
        <v>294</v>
      </c>
    </row>
    <row r="31" spans="2:11" s="1" customFormat="1" ht="18" x14ac:dyDescent="0.35">
      <c r="B31" s="96">
        <v>23</v>
      </c>
      <c r="C31" s="20" t="s">
        <v>32</v>
      </c>
      <c r="D31" s="20" t="s">
        <v>30</v>
      </c>
      <c r="E31" s="55">
        <v>1598.223</v>
      </c>
      <c r="F31" s="56">
        <f t="shared" si="0"/>
        <v>0.5695772606874876</v>
      </c>
      <c r="G31" s="125" t="s">
        <v>295</v>
      </c>
    </row>
    <row r="32" spans="2:11" s="1" customFormat="1" ht="18" x14ac:dyDescent="0.35">
      <c r="B32" s="96">
        <v>24</v>
      </c>
      <c r="C32" s="20" t="s">
        <v>26</v>
      </c>
      <c r="D32" s="20" t="s">
        <v>30</v>
      </c>
      <c r="E32" s="55">
        <v>1597.134</v>
      </c>
      <c r="F32" s="56">
        <f t="shared" si="0"/>
        <v>0.56918916113136264</v>
      </c>
      <c r="G32" s="125" t="s">
        <v>295</v>
      </c>
    </row>
    <row r="33" spans="2:7" s="1" customFormat="1" ht="18" x14ac:dyDescent="0.35">
      <c r="B33" s="96">
        <v>25</v>
      </c>
      <c r="C33" s="20" t="s">
        <v>30</v>
      </c>
      <c r="D33" s="20" t="s">
        <v>22</v>
      </c>
      <c r="E33" s="55">
        <v>1483.7370000000001</v>
      </c>
      <c r="F33" s="56">
        <f t="shared" si="0"/>
        <v>0.52877655748958108</v>
      </c>
      <c r="G33" s="125" t="s">
        <v>294</v>
      </c>
    </row>
    <row r="34" spans="2:7" s="1" customFormat="1" ht="18" x14ac:dyDescent="0.35">
      <c r="B34" s="96">
        <v>26</v>
      </c>
      <c r="C34" s="20" t="s">
        <v>207</v>
      </c>
      <c r="D34" s="20" t="s">
        <v>51</v>
      </c>
      <c r="E34" s="55">
        <v>1410.6590000000001</v>
      </c>
      <c r="F34" s="56">
        <f t="shared" si="0"/>
        <v>0.50273290334587262</v>
      </c>
      <c r="G34" s="125" t="s">
        <v>294</v>
      </c>
    </row>
    <row r="35" spans="2:7" s="1" customFormat="1" ht="18" x14ac:dyDescent="0.35">
      <c r="B35" s="96">
        <v>27</v>
      </c>
      <c r="C35" s="20" t="s">
        <v>189</v>
      </c>
      <c r="D35" s="20" t="s">
        <v>51</v>
      </c>
      <c r="E35" s="55">
        <v>1403.193</v>
      </c>
      <c r="F35" s="56">
        <f t="shared" si="0"/>
        <v>0.50007215836329333</v>
      </c>
      <c r="G35" s="125" t="s">
        <v>294</v>
      </c>
    </row>
    <row r="36" spans="2:7" s="1" customFormat="1" ht="18" x14ac:dyDescent="0.35">
      <c r="B36" s="96">
        <v>28</v>
      </c>
      <c r="C36" s="20" t="s">
        <v>123</v>
      </c>
      <c r="D36" s="20" t="s">
        <v>92</v>
      </c>
      <c r="E36" s="55">
        <v>1376.35</v>
      </c>
      <c r="F36" s="56">
        <f t="shared" si="0"/>
        <v>0.49050580722916859</v>
      </c>
      <c r="G36" s="125" t="s">
        <v>295</v>
      </c>
    </row>
    <row r="37" spans="2:7" s="1" customFormat="1" ht="18" x14ac:dyDescent="0.35">
      <c r="B37" s="96">
        <v>29</v>
      </c>
      <c r="C37" s="20" t="s">
        <v>252</v>
      </c>
      <c r="D37" s="20" t="s">
        <v>51</v>
      </c>
      <c r="E37" s="55">
        <v>1376.211</v>
      </c>
      <c r="F37" s="56">
        <f t="shared" si="0"/>
        <v>0.4904562701875696</v>
      </c>
      <c r="G37" s="125" t="s">
        <v>294</v>
      </c>
    </row>
    <row r="38" spans="2:7" s="1" customFormat="1" ht="18" x14ac:dyDescent="0.35">
      <c r="B38" s="96">
        <v>30</v>
      </c>
      <c r="C38" s="20" t="s">
        <v>26</v>
      </c>
      <c r="D38" s="20" t="s">
        <v>94</v>
      </c>
      <c r="E38" s="55">
        <v>1375.6669999999999</v>
      </c>
      <c r="F38" s="56">
        <f t="shared" si="0"/>
        <v>0.49026239860030413</v>
      </c>
      <c r="G38" s="125" t="s">
        <v>294</v>
      </c>
    </row>
    <row r="39" spans="2:7" s="1" customFormat="1" ht="18" x14ac:dyDescent="0.35">
      <c r="B39" s="96">
        <v>31</v>
      </c>
      <c r="C39" s="20" t="s">
        <v>77</v>
      </c>
      <c r="D39" s="20" t="s">
        <v>28</v>
      </c>
      <c r="E39" s="55">
        <v>1285.1489999999999</v>
      </c>
      <c r="F39" s="56">
        <f t="shared" si="0"/>
        <v>0.4580034494530888</v>
      </c>
      <c r="G39" s="125" t="s">
        <v>296</v>
      </c>
    </row>
    <row r="40" spans="2:7" s="1" customFormat="1" ht="18" x14ac:dyDescent="0.35">
      <c r="B40" s="96">
        <v>32</v>
      </c>
      <c r="C40" s="20" t="s">
        <v>34</v>
      </c>
      <c r="D40" s="20" t="s">
        <v>22</v>
      </c>
      <c r="E40" s="55">
        <v>1277.624</v>
      </c>
      <c r="F40" s="56">
        <f t="shared" si="0"/>
        <v>0.45532167795644951</v>
      </c>
      <c r="G40" s="125" t="s">
        <v>294</v>
      </c>
    </row>
    <row r="41" spans="2:7" s="1" customFormat="1" ht="18" x14ac:dyDescent="0.35">
      <c r="B41" s="96">
        <v>33</v>
      </c>
      <c r="C41" s="20" t="s">
        <v>42</v>
      </c>
      <c r="D41" s="20" t="s">
        <v>73</v>
      </c>
      <c r="E41" s="55">
        <v>1241.634</v>
      </c>
      <c r="F41" s="56">
        <f t="shared" si="0"/>
        <v>0.44249550437983187</v>
      </c>
      <c r="G41" s="125" t="s">
        <v>295</v>
      </c>
    </row>
    <row r="42" spans="2:7" s="1" customFormat="1" ht="18" x14ac:dyDescent="0.35">
      <c r="B42" s="96">
        <v>34</v>
      </c>
      <c r="C42" s="20" t="s">
        <v>185</v>
      </c>
      <c r="D42" s="20" t="s">
        <v>51</v>
      </c>
      <c r="E42" s="55">
        <v>1226.8489999999999</v>
      </c>
      <c r="F42" s="56">
        <f t="shared" si="0"/>
        <v>0.43722640250902622</v>
      </c>
      <c r="G42" s="125" t="s">
        <v>294</v>
      </c>
    </row>
    <row r="43" spans="2:7" s="1" customFormat="1" ht="18" x14ac:dyDescent="0.35">
      <c r="B43" s="96">
        <v>35</v>
      </c>
      <c r="C43" s="20" t="s">
        <v>20</v>
      </c>
      <c r="D43" s="20" t="s">
        <v>21</v>
      </c>
      <c r="E43" s="55">
        <v>1198.8309999999999</v>
      </c>
      <c r="F43" s="56">
        <f t="shared" si="0"/>
        <v>0.42724130300167207</v>
      </c>
      <c r="G43" s="125" t="s">
        <v>294</v>
      </c>
    </row>
    <row r="44" spans="2:7" s="1" customFormat="1" ht="18" x14ac:dyDescent="0.35">
      <c r="B44" s="96">
        <v>36</v>
      </c>
      <c r="C44" s="20" t="s">
        <v>125</v>
      </c>
      <c r="D44" s="20" t="s">
        <v>51</v>
      </c>
      <c r="E44" s="55">
        <v>1167.7380000000001</v>
      </c>
      <c r="F44" s="56">
        <f t="shared" si="0"/>
        <v>0.41616033009203685</v>
      </c>
      <c r="G44" s="125" t="s">
        <v>294</v>
      </c>
    </row>
    <row r="45" spans="2:7" s="1" customFormat="1" ht="18" x14ac:dyDescent="0.35">
      <c r="B45" s="96">
        <v>37</v>
      </c>
      <c r="C45" s="20" t="s">
        <v>26</v>
      </c>
      <c r="D45" s="20" t="s">
        <v>89</v>
      </c>
      <c r="E45" s="55">
        <v>1152.175</v>
      </c>
      <c r="F45" s="56">
        <f t="shared" si="0"/>
        <v>0.41061396334091421</v>
      </c>
      <c r="G45" s="125" t="s">
        <v>294</v>
      </c>
    </row>
    <row r="46" spans="2:7" s="1" customFormat="1" ht="18" x14ac:dyDescent="0.35">
      <c r="B46" s="96">
        <v>38</v>
      </c>
      <c r="C46" s="20" t="s">
        <v>332</v>
      </c>
      <c r="D46" s="20" t="s">
        <v>20</v>
      </c>
      <c r="E46" s="55">
        <v>1146.175</v>
      </c>
      <c r="F46" s="56">
        <f t="shared" si="0"/>
        <v>0.40847567377548755</v>
      </c>
      <c r="G46" s="125" t="s">
        <v>295</v>
      </c>
    </row>
    <row r="47" spans="2:7" s="1" customFormat="1" ht="18" x14ac:dyDescent="0.35">
      <c r="B47" s="96">
        <v>39</v>
      </c>
      <c r="C47" s="20" t="s">
        <v>73</v>
      </c>
      <c r="D47" s="20" t="s">
        <v>97</v>
      </c>
      <c r="E47" s="55">
        <v>1132.924</v>
      </c>
      <c r="F47" s="56">
        <f t="shared" si="0"/>
        <v>0.4037532612702428</v>
      </c>
      <c r="G47" s="125" t="s">
        <v>294</v>
      </c>
    </row>
    <row r="48" spans="2:7" s="1" customFormat="1" ht="18" x14ac:dyDescent="0.35">
      <c r="B48" s="96">
        <v>40</v>
      </c>
      <c r="C48" s="20" t="s">
        <v>44</v>
      </c>
      <c r="D48" s="20" t="s">
        <v>21</v>
      </c>
      <c r="E48" s="55">
        <v>1128.201</v>
      </c>
      <c r="F48" s="56">
        <f t="shared" si="0"/>
        <v>0.40207007100065772</v>
      </c>
      <c r="G48" s="125" t="s">
        <v>294</v>
      </c>
    </row>
    <row r="49" spans="2:11" s="1" customFormat="1" ht="18" x14ac:dyDescent="0.35">
      <c r="B49" s="96">
        <v>41</v>
      </c>
      <c r="C49" s="20" t="s">
        <v>34</v>
      </c>
      <c r="D49" s="20" t="s">
        <v>334</v>
      </c>
      <c r="E49" s="55">
        <v>1095.231</v>
      </c>
      <c r="F49" s="56">
        <f t="shared" si="0"/>
        <v>0.3903201698386381</v>
      </c>
      <c r="G49" s="125" t="s">
        <v>294</v>
      </c>
    </row>
    <row r="50" spans="2:11" s="1" customFormat="1" ht="18" x14ac:dyDescent="0.35">
      <c r="B50" s="96">
        <v>42</v>
      </c>
      <c r="C50" s="20" t="s">
        <v>179</v>
      </c>
      <c r="D50" s="20" t="s">
        <v>24</v>
      </c>
      <c r="E50" s="55">
        <v>1059.9179999999999</v>
      </c>
      <c r="F50" s="56">
        <f t="shared" si="0"/>
        <v>0.37773526660131934</v>
      </c>
      <c r="G50" s="125" t="s">
        <v>294</v>
      </c>
    </row>
    <row r="51" spans="2:11" s="1" customFormat="1" ht="18" x14ac:dyDescent="0.35">
      <c r="B51" s="96">
        <v>43</v>
      </c>
      <c r="C51" s="20" t="s">
        <v>41</v>
      </c>
      <c r="D51" s="20" t="s">
        <v>29</v>
      </c>
      <c r="E51" s="55">
        <v>1048.8620000000001</v>
      </c>
      <c r="F51" s="56">
        <f t="shared" si="0"/>
        <v>0.37379511169542651</v>
      </c>
      <c r="G51" s="125" t="s">
        <v>296</v>
      </c>
    </row>
    <row r="52" spans="2:11" s="1" customFormat="1" ht="18" x14ac:dyDescent="0.35">
      <c r="B52" s="101">
        <v>44</v>
      </c>
      <c r="C52" s="29" t="s">
        <v>273</v>
      </c>
      <c r="D52" s="29" t="s">
        <v>101</v>
      </c>
      <c r="E52" s="55">
        <v>1042.7850000000001</v>
      </c>
      <c r="F52" s="56">
        <f t="shared" si="0"/>
        <v>0.3716293807472435</v>
      </c>
      <c r="G52" s="126" t="s">
        <v>295</v>
      </c>
    </row>
    <row r="53" spans="2:11" s="1" customFormat="1" ht="18" x14ac:dyDescent="0.35">
      <c r="B53" s="96">
        <v>45</v>
      </c>
      <c r="C53" s="29" t="s">
        <v>272</v>
      </c>
      <c r="D53" s="29" t="s">
        <v>51</v>
      </c>
      <c r="E53" s="55">
        <v>1038.778</v>
      </c>
      <c r="F53" s="56">
        <f t="shared" si="0"/>
        <v>0.3702013596991327</v>
      </c>
      <c r="G53" s="126" t="s">
        <v>296</v>
      </c>
    </row>
    <row r="54" spans="2:11" s="1" customFormat="1" ht="18" x14ac:dyDescent="0.35">
      <c r="B54" s="101">
        <v>46</v>
      </c>
      <c r="C54" s="29" t="s">
        <v>116</v>
      </c>
      <c r="D54" s="29" t="s">
        <v>103</v>
      </c>
      <c r="E54" s="55">
        <v>1022.433</v>
      </c>
      <c r="F54" s="56">
        <f t="shared" si="0"/>
        <v>0.3643763025413162</v>
      </c>
      <c r="G54" s="126" t="s">
        <v>295</v>
      </c>
    </row>
    <row r="55" spans="2:11" s="1" customFormat="1" ht="18" x14ac:dyDescent="0.35">
      <c r="B55" s="101">
        <v>47</v>
      </c>
      <c r="C55" s="102" t="s">
        <v>293</v>
      </c>
      <c r="D55" s="102" t="s">
        <v>293</v>
      </c>
      <c r="E55" s="97">
        <v>188826.08099999998</v>
      </c>
      <c r="F55" s="98">
        <f t="shared" si="0"/>
        <v>67.294139780452184</v>
      </c>
      <c r="G55" s="127" t="s">
        <v>283</v>
      </c>
      <c r="H55"/>
    </row>
    <row r="56" spans="2:11" s="1" customFormat="1" ht="12.75" customHeight="1" x14ac:dyDescent="0.35">
      <c r="B56" s="85"/>
      <c r="E56" s="35"/>
      <c r="G56" s="128"/>
    </row>
    <row r="57" spans="2:11" ht="42" customHeight="1" x14ac:dyDescent="0.25">
      <c r="B57" s="355" t="s">
        <v>353</v>
      </c>
      <c r="C57" s="355"/>
      <c r="D57" s="355"/>
      <c r="E57" s="355"/>
      <c r="F57" s="355"/>
      <c r="G57" s="355"/>
    </row>
    <row r="58" spans="2:11" ht="12.75" customHeight="1" x14ac:dyDescent="0.25">
      <c r="B58" s="355" t="s">
        <v>377</v>
      </c>
      <c r="C58" s="355"/>
      <c r="D58" s="355"/>
      <c r="E58" s="355"/>
      <c r="F58" s="355"/>
      <c r="G58" s="355"/>
      <c r="H58" s="228"/>
      <c r="I58" s="228"/>
      <c r="J58" s="228"/>
      <c r="K58" s="228"/>
    </row>
    <row r="59" spans="2:11" ht="12.75" customHeight="1" x14ac:dyDescent="0.25">
      <c r="B59" s="355" t="s">
        <v>309</v>
      </c>
      <c r="C59" s="355"/>
      <c r="D59" s="355"/>
      <c r="E59" s="355"/>
      <c r="F59" s="355"/>
      <c r="G59" s="355"/>
      <c r="H59" s="228"/>
      <c r="I59" s="228"/>
      <c r="J59" s="228"/>
      <c r="K59" s="228"/>
    </row>
    <row r="60" spans="2:11" x14ac:dyDescent="0.25">
      <c r="B60" s="368" t="s">
        <v>336</v>
      </c>
      <c r="C60" s="368"/>
      <c r="D60" s="368"/>
      <c r="E60" s="368"/>
      <c r="F60" s="368"/>
      <c r="G60" s="368"/>
      <c r="H60" s="82"/>
      <c r="I60" s="82"/>
      <c r="J60" s="82"/>
      <c r="K60" s="82"/>
    </row>
    <row r="61" spans="2:11" x14ac:dyDescent="0.25"/>
  </sheetData>
  <mergeCells count="6">
    <mergeCell ref="B60:G60"/>
    <mergeCell ref="B57:G57"/>
    <mergeCell ref="B8:D8"/>
    <mergeCell ref="B5:G5"/>
    <mergeCell ref="B58:G58"/>
    <mergeCell ref="B59:G59"/>
  </mergeCells>
  <hyperlinks>
    <hyperlink ref="H7" location="Indice!A1" display="Volver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opLeftCell="A28" zoomScaleNormal="100" workbookViewId="0">
      <selection activeCell="C7" sqref="C7:N7"/>
    </sheetView>
  </sheetViews>
  <sheetFormatPr baseColWidth="10" defaultColWidth="0" defaultRowHeight="18" zeroHeight="1" x14ac:dyDescent="0.35"/>
  <cols>
    <col min="1" max="1" width="2.85546875" style="1" customWidth="1"/>
    <col min="2" max="2" width="15.85546875" style="1" customWidth="1"/>
    <col min="3" max="3" width="23.42578125" style="86" customWidth="1"/>
    <col min="4" max="5" width="23.42578125" style="103" customWidth="1"/>
    <col min="6" max="6" width="23.42578125" style="1" customWidth="1"/>
    <col min="7" max="7" width="38.7109375" style="1" customWidth="1"/>
    <col min="8" max="8" width="15.5703125" style="1" bestFit="1" customWidth="1"/>
    <col min="9" max="16384" width="11.42578125" style="1" hidden="1"/>
  </cols>
  <sheetData>
    <row r="1" spans="2:8" x14ac:dyDescent="0.35"/>
    <row r="2" spans="2:8" ht="18" customHeight="1" x14ac:dyDescent="0.35">
      <c r="F2" s="65"/>
      <c r="G2" s="65"/>
    </row>
    <row r="3" spans="2:8" ht="18" customHeight="1" x14ac:dyDescent="0.35">
      <c r="E3" s="65"/>
      <c r="F3" s="65"/>
      <c r="G3" s="177"/>
    </row>
    <row r="4" spans="2:8" ht="18" customHeight="1" x14ac:dyDescent="0.35">
      <c r="E4" s="65"/>
      <c r="F4" s="65"/>
      <c r="G4" s="177"/>
    </row>
    <row r="5" spans="2:8" ht="22.5" customHeight="1" x14ac:dyDescent="0.35">
      <c r="B5" s="371" t="s">
        <v>355</v>
      </c>
      <c r="C5" s="371"/>
      <c r="D5" s="371"/>
      <c r="E5" s="371"/>
      <c r="F5" s="371"/>
      <c r="G5" s="371"/>
    </row>
    <row r="6" spans="2:8" ht="18" customHeight="1" x14ac:dyDescent="0.35">
      <c r="B6" s="3"/>
      <c r="C6" s="80"/>
      <c r="D6" s="107"/>
      <c r="E6" s="65"/>
      <c r="F6" s="65"/>
      <c r="G6" s="65"/>
    </row>
    <row r="7" spans="2:8" x14ac:dyDescent="0.35">
      <c r="B7" s="188" t="s">
        <v>349</v>
      </c>
      <c r="C7" s="188" t="s">
        <v>288</v>
      </c>
      <c r="D7" s="237" t="s">
        <v>52</v>
      </c>
      <c r="E7" s="237" t="s">
        <v>50</v>
      </c>
      <c r="F7" s="188" t="s">
        <v>63</v>
      </c>
      <c r="G7" s="238" t="s">
        <v>83</v>
      </c>
      <c r="H7" s="215" t="s">
        <v>315</v>
      </c>
    </row>
    <row r="8" spans="2:8" x14ac:dyDescent="0.35">
      <c r="B8" s="372" t="s">
        <v>298</v>
      </c>
      <c r="C8" s="372"/>
      <c r="D8" s="372"/>
      <c r="E8" s="372"/>
      <c r="F8" s="239">
        <f>F15+F22+F29+F36+F37+F40</f>
        <v>280598.10499999998</v>
      </c>
      <c r="G8" s="240" t="s">
        <v>283</v>
      </c>
    </row>
    <row r="9" spans="2:8" x14ac:dyDescent="0.35">
      <c r="B9" s="373" t="s">
        <v>351</v>
      </c>
      <c r="C9" s="106">
        <v>1</v>
      </c>
      <c r="D9" s="20" t="s">
        <v>38</v>
      </c>
      <c r="E9" s="20" t="s">
        <v>21</v>
      </c>
      <c r="F9" s="55">
        <f>2141722/1000</f>
        <v>2141.7220000000002</v>
      </c>
      <c r="G9" s="48">
        <f>(F9/F$15)*100</f>
        <v>5.1971696160913998</v>
      </c>
    </row>
    <row r="10" spans="2:8" x14ac:dyDescent="0.35">
      <c r="B10" s="373"/>
      <c r="C10" s="106">
        <v>2</v>
      </c>
      <c r="D10" s="20" t="s">
        <v>77</v>
      </c>
      <c r="E10" s="20" t="s">
        <v>28</v>
      </c>
      <c r="F10" s="55">
        <f>1285149/1000</f>
        <v>1285.1489999999999</v>
      </c>
      <c r="G10" s="48">
        <f t="shared" ref="G10:G14" si="0">(F10/F$15)*100</f>
        <v>3.1185827735580278</v>
      </c>
    </row>
    <row r="11" spans="2:8" x14ac:dyDescent="0.35">
      <c r="B11" s="373"/>
      <c r="C11" s="106">
        <v>3</v>
      </c>
      <c r="D11" s="108" t="s">
        <v>272</v>
      </c>
      <c r="E11" s="110" t="s">
        <v>51</v>
      </c>
      <c r="F11" s="55">
        <f>1038778/1000</f>
        <v>1038.778</v>
      </c>
      <c r="G11" s="48">
        <f t="shared" si="0"/>
        <v>2.5207311964224077</v>
      </c>
    </row>
    <row r="12" spans="2:8" x14ac:dyDescent="0.35">
      <c r="B12" s="373"/>
      <c r="C12" s="106">
        <v>4</v>
      </c>
      <c r="D12" s="108" t="s">
        <v>38</v>
      </c>
      <c r="E12" s="109" t="s">
        <v>77</v>
      </c>
      <c r="F12" s="170">
        <f>835975/1000</f>
        <v>835.97500000000002</v>
      </c>
      <c r="G12" s="48">
        <f t="shared" si="0"/>
        <v>2.0286030912564788</v>
      </c>
    </row>
    <row r="13" spans="2:8" x14ac:dyDescent="0.35">
      <c r="B13" s="373"/>
      <c r="C13" s="106">
        <v>5</v>
      </c>
      <c r="D13" s="10" t="s">
        <v>23</v>
      </c>
      <c r="E13" s="61" t="s">
        <v>51</v>
      </c>
      <c r="F13" s="171">
        <f>793897/1000</f>
        <v>793.89700000000005</v>
      </c>
      <c r="G13" s="48">
        <f t="shared" si="0"/>
        <v>1.9264952999063902</v>
      </c>
    </row>
    <row r="14" spans="2:8" x14ac:dyDescent="0.35">
      <c r="B14" s="295"/>
      <c r="C14" s="106"/>
      <c r="D14" s="10" t="s">
        <v>84</v>
      </c>
      <c r="E14" s="10" t="s">
        <v>84</v>
      </c>
      <c r="F14" s="171">
        <v>35113.870999999999</v>
      </c>
      <c r="G14" s="48">
        <f t="shared" si="0"/>
        <v>85.208418022765301</v>
      </c>
      <c r="H14" s="35"/>
    </row>
    <row r="15" spans="2:8" ht="18" customHeight="1" x14ac:dyDescent="0.35">
      <c r="B15" s="375" t="s">
        <v>338</v>
      </c>
      <c r="C15" s="375"/>
      <c r="D15" s="375"/>
      <c r="E15" s="375"/>
      <c r="F15" s="298">
        <f>41209392/1000</f>
        <v>41209.392</v>
      </c>
      <c r="G15" s="293">
        <f>SUM(G9:G14)</f>
        <v>100</v>
      </c>
      <c r="H15" s="35"/>
    </row>
    <row r="16" spans="2:8" x14ac:dyDescent="0.35">
      <c r="B16" s="374" t="s">
        <v>78</v>
      </c>
      <c r="C16" s="21">
        <v>1</v>
      </c>
      <c r="D16" s="110" t="s">
        <v>51</v>
      </c>
      <c r="E16" s="54" t="s">
        <v>33</v>
      </c>
      <c r="F16" s="172">
        <f>799248/1000</f>
        <v>799.24800000000005</v>
      </c>
      <c r="G16" s="48">
        <f>(F16/F$22)*100</f>
        <v>10.978634569001148</v>
      </c>
    </row>
    <row r="17" spans="2:8" x14ac:dyDescent="0.35">
      <c r="B17" s="374"/>
      <c r="C17" s="21">
        <v>2</v>
      </c>
      <c r="D17" s="37" t="s">
        <v>21</v>
      </c>
      <c r="E17" s="37" t="s">
        <v>333</v>
      </c>
      <c r="F17" s="172">
        <f>376288/1000</f>
        <v>376.28800000000001</v>
      </c>
      <c r="G17" s="48">
        <f>(F17/F$22)*100</f>
        <v>5.1687691989223676</v>
      </c>
    </row>
    <row r="18" spans="2:8" x14ac:dyDescent="0.35">
      <c r="B18" s="374"/>
      <c r="C18" s="21">
        <v>3</v>
      </c>
      <c r="D18" s="37" t="s">
        <v>79</v>
      </c>
      <c r="E18" s="105" t="s">
        <v>80</v>
      </c>
      <c r="F18" s="172">
        <f>288708/1000</f>
        <v>288.70800000000003</v>
      </c>
      <c r="G18" s="48">
        <f t="shared" ref="G18:G21" si="1">(F18/F$22)*100</f>
        <v>3.965752343636999</v>
      </c>
    </row>
    <row r="19" spans="2:8" x14ac:dyDescent="0.35">
      <c r="B19" s="374"/>
      <c r="C19" s="21">
        <v>4</v>
      </c>
      <c r="D19" s="105" t="s">
        <v>339</v>
      </c>
      <c r="E19" s="105" t="s">
        <v>82</v>
      </c>
      <c r="F19" s="172">
        <f>215198/1000</f>
        <v>215.19800000000001</v>
      </c>
      <c r="G19" s="48">
        <f t="shared" si="1"/>
        <v>2.9560038961372554</v>
      </c>
    </row>
    <row r="20" spans="2:8" x14ac:dyDescent="0.35">
      <c r="B20" s="374"/>
      <c r="C20" s="21">
        <v>5</v>
      </c>
      <c r="D20" s="105" t="s">
        <v>90</v>
      </c>
      <c r="E20" s="105" t="s">
        <v>43</v>
      </c>
      <c r="F20" s="172">
        <f>209555/1000</f>
        <v>209.55500000000001</v>
      </c>
      <c r="G20" s="48">
        <f t="shared" si="1"/>
        <v>2.8784904899443422</v>
      </c>
    </row>
    <row r="21" spans="2:8" x14ac:dyDescent="0.35">
      <c r="B21" s="296"/>
      <c r="C21" s="21"/>
      <c r="D21" s="10" t="s">
        <v>84</v>
      </c>
      <c r="E21" s="10" t="s">
        <v>84</v>
      </c>
      <c r="F21" s="172">
        <v>5391.0339999999997</v>
      </c>
      <c r="G21" s="48">
        <f t="shared" si="1"/>
        <v>74.052349502357885</v>
      </c>
    </row>
    <row r="22" spans="2:8" ht="18" customHeight="1" x14ac:dyDescent="0.35">
      <c r="B22" s="376" t="s">
        <v>342</v>
      </c>
      <c r="C22" s="376"/>
      <c r="D22" s="376"/>
      <c r="E22" s="376"/>
      <c r="F22" s="299">
        <f>7280031/1000</f>
        <v>7280.0309999999999</v>
      </c>
      <c r="G22" s="293">
        <f>SUM(G16:G21)</f>
        <v>100</v>
      </c>
      <c r="H22" s="35"/>
    </row>
    <row r="23" spans="2:8" x14ac:dyDescent="0.35">
      <c r="B23" s="374" t="s">
        <v>75</v>
      </c>
      <c r="C23" s="21">
        <v>1</v>
      </c>
      <c r="D23" s="105" t="s">
        <v>33</v>
      </c>
      <c r="E23" s="294" t="s">
        <v>51</v>
      </c>
      <c r="F23" s="172">
        <f>10853105/1000</f>
        <v>10853.105</v>
      </c>
      <c r="G23" s="48">
        <f>(F23/F$29)*100</f>
        <v>8.2465384002579967</v>
      </c>
    </row>
    <row r="24" spans="2:8" x14ac:dyDescent="0.35">
      <c r="B24" s="374"/>
      <c r="C24" s="21">
        <v>2</v>
      </c>
      <c r="D24" s="54" t="s">
        <v>26</v>
      </c>
      <c r="E24" s="111" t="s">
        <v>334</v>
      </c>
      <c r="F24" s="55">
        <f>3471300/1000</f>
        <v>3471.3</v>
      </c>
      <c r="G24" s="48">
        <f t="shared" ref="G24:G28" si="2">(F24/F$29)*100</f>
        <v>2.6376054363074517</v>
      </c>
    </row>
    <row r="25" spans="2:8" x14ac:dyDescent="0.35">
      <c r="B25" s="374"/>
      <c r="C25" s="21">
        <v>3</v>
      </c>
      <c r="D25" s="54" t="s">
        <v>26</v>
      </c>
      <c r="E25" s="294" t="s">
        <v>51</v>
      </c>
      <c r="F25" s="171">
        <f>2723764/1000</f>
        <v>2723.7640000000001</v>
      </c>
      <c r="G25" s="48">
        <f t="shared" si="2"/>
        <v>2.0696035299796995</v>
      </c>
    </row>
    <row r="26" spans="2:8" x14ac:dyDescent="0.35">
      <c r="B26" s="374"/>
      <c r="C26" s="21">
        <v>4</v>
      </c>
      <c r="D26" s="54" t="s">
        <v>26</v>
      </c>
      <c r="E26" s="300" t="s">
        <v>343</v>
      </c>
      <c r="F26" s="172">
        <f>2502337/1000</f>
        <v>2502.337</v>
      </c>
      <c r="G26" s="48">
        <f t="shared" si="2"/>
        <v>1.9013561705047908</v>
      </c>
    </row>
    <row r="27" spans="2:8" x14ac:dyDescent="0.35">
      <c r="B27" s="374"/>
      <c r="C27" s="21">
        <v>5</v>
      </c>
      <c r="D27" s="111" t="s">
        <v>43</v>
      </c>
      <c r="E27" s="105" t="s">
        <v>90</v>
      </c>
      <c r="F27" s="173">
        <f>2408447/1000</f>
        <v>2408.4470000000001</v>
      </c>
      <c r="G27" s="48">
        <f t="shared" si="2"/>
        <v>1.8300155273984886</v>
      </c>
    </row>
    <row r="28" spans="2:8" x14ac:dyDescent="0.35">
      <c r="B28" s="296"/>
      <c r="C28" s="21"/>
      <c r="D28" s="10" t="s">
        <v>84</v>
      </c>
      <c r="E28" s="301" t="s">
        <v>84</v>
      </c>
      <c r="F28" s="173">
        <v>109649.056</v>
      </c>
      <c r="G28" s="48">
        <f t="shared" si="2"/>
        <v>83.314880935551585</v>
      </c>
      <c r="H28" s="35"/>
    </row>
    <row r="29" spans="2:8" ht="18" customHeight="1" x14ac:dyDescent="0.35">
      <c r="B29" s="376" t="s">
        <v>341</v>
      </c>
      <c r="C29" s="376"/>
      <c r="D29" s="376"/>
      <c r="E29" s="376"/>
      <c r="F29" s="298">
        <f>131608009/1000</f>
        <v>131608.00899999999</v>
      </c>
      <c r="G29" s="293">
        <f>SUM(G23:G28)</f>
        <v>100.00000000000001</v>
      </c>
      <c r="H29" s="35"/>
    </row>
    <row r="30" spans="2:8" x14ac:dyDescent="0.35">
      <c r="B30" s="373" t="s">
        <v>76</v>
      </c>
      <c r="C30" s="106">
        <v>1</v>
      </c>
      <c r="D30" s="294" t="s">
        <v>273</v>
      </c>
      <c r="E30" s="294" t="s">
        <v>333</v>
      </c>
      <c r="F30" s="55">
        <f>3792505/1000</f>
        <v>3792.5050000000001</v>
      </c>
      <c r="G30" s="48">
        <f>(F30/F$36)*100</f>
        <v>4.3173416931074327</v>
      </c>
    </row>
    <row r="31" spans="2:8" x14ac:dyDescent="0.35">
      <c r="B31" s="373"/>
      <c r="C31" s="106">
        <v>2</v>
      </c>
      <c r="D31" s="294" t="s">
        <v>20</v>
      </c>
      <c r="E31" s="294" t="s">
        <v>27</v>
      </c>
      <c r="F31" s="170">
        <f>3330586/1000</f>
        <v>3330.5859999999998</v>
      </c>
      <c r="G31" s="48">
        <f t="shared" ref="G31:G35" si="3">(F31/F$36)*100</f>
        <v>3.7914987060741936</v>
      </c>
    </row>
    <row r="32" spans="2:8" x14ac:dyDescent="0.35">
      <c r="B32" s="373"/>
      <c r="C32" s="106">
        <v>3</v>
      </c>
      <c r="D32" s="294" t="s">
        <v>27</v>
      </c>
      <c r="E32" s="294" t="s">
        <v>20</v>
      </c>
      <c r="F32" s="170">
        <f>3268263/1000</f>
        <v>3268.2629999999999</v>
      </c>
      <c r="G32" s="48">
        <f t="shared" si="3"/>
        <v>3.7205509587832779</v>
      </c>
    </row>
    <row r="33" spans="2:8" s="60" customFormat="1" x14ac:dyDescent="0.35">
      <c r="B33" s="373"/>
      <c r="C33" s="106">
        <v>4</v>
      </c>
      <c r="D33" s="294" t="s">
        <v>32</v>
      </c>
      <c r="E33" s="294" t="s">
        <v>282</v>
      </c>
      <c r="F33" s="170">
        <f>2710601/1000</f>
        <v>2710.6010000000001</v>
      </c>
      <c r="G33" s="48">
        <f t="shared" si="3"/>
        <v>3.0857153018067742</v>
      </c>
    </row>
    <row r="34" spans="2:8" x14ac:dyDescent="0.35">
      <c r="B34" s="373"/>
      <c r="C34" s="106">
        <v>5</v>
      </c>
      <c r="D34" s="20" t="s">
        <v>44</v>
      </c>
      <c r="E34" s="294" t="s">
        <v>20</v>
      </c>
      <c r="F34" s="170">
        <f>2558907/1000</f>
        <v>2558.9070000000002</v>
      </c>
      <c r="G34" s="48">
        <f t="shared" si="3"/>
        <v>2.9130286920872779</v>
      </c>
    </row>
    <row r="35" spans="2:8" x14ac:dyDescent="0.35">
      <c r="B35" s="295"/>
      <c r="C35" s="106"/>
      <c r="D35" s="10" t="s">
        <v>84</v>
      </c>
      <c r="E35" s="10" t="s">
        <v>84</v>
      </c>
      <c r="F35" s="170">
        <v>72182.66</v>
      </c>
      <c r="G35" s="48">
        <f t="shared" si="3"/>
        <v>82.171864648141053</v>
      </c>
    </row>
    <row r="36" spans="2:8" x14ac:dyDescent="0.35">
      <c r="B36" s="376" t="s">
        <v>340</v>
      </c>
      <c r="C36" s="376"/>
      <c r="D36" s="376"/>
      <c r="E36" s="376"/>
      <c r="F36" s="298">
        <f>87843522/1000</f>
        <v>87843.521999999997</v>
      </c>
      <c r="G36" s="293">
        <f>SUM(G30:G35)</f>
        <v>100.00000000000001</v>
      </c>
      <c r="H36" s="35"/>
    </row>
    <row r="37" spans="2:8" x14ac:dyDescent="0.35">
      <c r="B37" s="377" t="s">
        <v>348</v>
      </c>
      <c r="C37" s="377"/>
      <c r="D37" s="378" t="s">
        <v>344</v>
      </c>
      <c r="E37" s="378" t="s">
        <v>345</v>
      </c>
      <c r="F37" s="379">
        <f>7504931/1000</f>
        <v>7504.9309999999996</v>
      </c>
      <c r="G37" s="380">
        <f>(F37/F$8)*100</f>
        <v>2.6746192744245367</v>
      </c>
      <c r="H37" s="35"/>
    </row>
    <row r="38" spans="2:8" x14ac:dyDescent="0.35">
      <c r="B38" s="377"/>
      <c r="C38" s="377"/>
      <c r="D38" s="378"/>
      <c r="E38" s="378"/>
      <c r="F38" s="379"/>
      <c r="G38" s="380"/>
      <c r="H38" s="35"/>
    </row>
    <row r="39" spans="2:8" ht="15" customHeight="1" x14ac:dyDescent="0.35">
      <c r="B39" s="304"/>
      <c r="C39" s="302"/>
      <c r="D39" s="304"/>
      <c r="E39" s="304"/>
      <c r="F39" s="303"/>
      <c r="G39" s="195"/>
      <c r="H39" s="35"/>
    </row>
    <row r="40" spans="2:8" x14ac:dyDescent="0.35">
      <c r="B40" s="377" t="s">
        <v>347</v>
      </c>
      <c r="C40" s="377"/>
      <c r="D40" s="378" t="s">
        <v>344</v>
      </c>
      <c r="E40" s="378" t="s">
        <v>346</v>
      </c>
      <c r="F40" s="379">
        <f>5152220/1000</f>
        <v>5152.22</v>
      </c>
      <c r="G40" s="380">
        <f>(F40/F$8)*100</f>
        <v>1.8361563774637755</v>
      </c>
      <c r="H40" s="35"/>
    </row>
    <row r="41" spans="2:8" x14ac:dyDescent="0.35">
      <c r="B41" s="377"/>
      <c r="C41" s="377"/>
      <c r="D41" s="378"/>
      <c r="E41" s="378"/>
      <c r="F41" s="379"/>
      <c r="G41" s="380"/>
      <c r="H41" s="35"/>
    </row>
    <row r="42" spans="2:8" ht="15" customHeight="1" x14ac:dyDescent="0.35">
      <c r="B42" s="305"/>
      <c r="C42" s="279"/>
      <c r="D42" s="306"/>
      <c r="E42" s="306"/>
      <c r="F42" s="304"/>
      <c r="G42" s="307"/>
    </row>
    <row r="43" spans="2:8" ht="15" customHeight="1" x14ac:dyDescent="0.35">
      <c r="B43" s="20"/>
      <c r="C43" s="21"/>
      <c r="D43" s="37"/>
      <c r="E43" s="37"/>
      <c r="F43" s="296"/>
      <c r="G43" s="59"/>
    </row>
    <row r="44" spans="2:8" ht="37.5" customHeight="1" x14ac:dyDescent="0.35">
      <c r="B44" s="348" t="s">
        <v>350</v>
      </c>
      <c r="C44" s="348"/>
      <c r="D44" s="348"/>
      <c r="E44" s="348"/>
      <c r="F44" s="348"/>
      <c r="G44" s="348"/>
    </row>
    <row r="45" spans="2:8" x14ac:dyDescent="0.35">
      <c r="B45" s="368" t="s">
        <v>352</v>
      </c>
      <c r="C45" s="368"/>
      <c r="D45" s="368"/>
      <c r="E45" s="368"/>
      <c r="F45" s="368"/>
      <c r="G45" s="368"/>
      <c r="H45" s="175"/>
    </row>
    <row r="46" spans="2:8" x14ac:dyDescent="0.35">
      <c r="B46" s="355" t="s">
        <v>335</v>
      </c>
      <c r="C46" s="355"/>
      <c r="D46" s="355"/>
      <c r="E46" s="355"/>
      <c r="F46" s="355"/>
      <c r="G46" s="355"/>
      <c r="H46" s="228"/>
    </row>
    <row r="47" spans="2:8" ht="17.25" customHeight="1" x14ac:dyDescent="0.35">
      <c r="B47" s="355" t="s">
        <v>337</v>
      </c>
      <c r="C47" s="355"/>
      <c r="D47" s="355"/>
      <c r="E47" s="355"/>
      <c r="F47" s="355"/>
      <c r="G47" s="355"/>
      <c r="H47" s="149"/>
    </row>
    <row r="48" spans="2:8" x14ac:dyDescent="0.35">
      <c r="B48" s="368" t="s">
        <v>336</v>
      </c>
      <c r="C48" s="368"/>
      <c r="D48" s="368"/>
      <c r="E48" s="368"/>
      <c r="F48" s="368"/>
      <c r="G48" s="368"/>
      <c r="H48" s="82"/>
    </row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</sheetData>
  <mergeCells count="27">
    <mergeCell ref="B45:G45"/>
    <mergeCell ref="B47:G47"/>
    <mergeCell ref="B48:G48"/>
    <mergeCell ref="G37:G38"/>
    <mergeCell ref="B40:B41"/>
    <mergeCell ref="D40:D41"/>
    <mergeCell ref="E40:E41"/>
    <mergeCell ref="F40:F41"/>
    <mergeCell ref="G40:G41"/>
    <mergeCell ref="C37:C38"/>
    <mergeCell ref="C40:C41"/>
    <mergeCell ref="B5:G5"/>
    <mergeCell ref="B46:G46"/>
    <mergeCell ref="B8:E8"/>
    <mergeCell ref="B9:B13"/>
    <mergeCell ref="B16:B20"/>
    <mergeCell ref="B23:B27"/>
    <mergeCell ref="B30:B34"/>
    <mergeCell ref="B15:E15"/>
    <mergeCell ref="B22:E22"/>
    <mergeCell ref="B29:E29"/>
    <mergeCell ref="B36:E36"/>
    <mergeCell ref="B37:B38"/>
    <mergeCell ref="D37:D38"/>
    <mergeCell ref="E37:E38"/>
    <mergeCell ref="F37:F38"/>
    <mergeCell ref="B44:G44"/>
  </mergeCells>
  <hyperlinks>
    <hyperlink ref="H7" location="Indice!A1" display="Volver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I.1. Tot. Pob mund y mig</vt:lpstr>
      <vt:lpstr>I.2 Pob migr. Grupos de edad</vt:lpstr>
      <vt:lpstr>I.3 Pob Inmg por país</vt:lpstr>
      <vt:lpstr>I.4.Pob Emig por país</vt:lpstr>
      <vt:lpstr>I.5. Regiones mig.int</vt:lpstr>
      <vt:lpstr>I.6. Stock Corredores</vt:lpstr>
      <vt:lpstr>I.7. Prin. Corredores por Dir.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DESMI</dc:creator>
  <cp:lastModifiedBy>Lopez Vega Rafael</cp:lastModifiedBy>
  <cp:lastPrinted>2018-01-22T17:29:45Z</cp:lastPrinted>
  <dcterms:created xsi:type="dcterms:W3CDTF">2015-07-17T14:22:37Z</dcterms:created>
  <dcterms:modified xsi:type="dcterms:W3CDTF">2022-03-31T15:11:33Z</dcterms:modified>
</cp:coreProperties>
</file>